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40" yWindow="240" windowWidth="22700" windowHeight="14120" tabRatio="500" activeTab="7"/>
  </bookViews>
  <sheets>
    <sheet name="T1" sheetId="1" r:id="rId1"/>
    <sheet name="T2" sheetId="2" r:id="rId2"/>
    <sheet name="T3" sheetId="3" r:id="rId3"/>
    <sheet name="T4" sheetId="4" r:id="rId4"/>
    <sheet name="F2" sheetId="5" r:id="rId5"/>
    <sheet name="T5" sheetId="6" r:id="rId6"/>
    <sheet name="F3" sheetId="7" r:id="rId7"/>
    <sheet name="F4" sheetId="8" r:id="rId8"/>
    <sheet name="F5" sheetId="9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8" l="1"/>
  <c r="N6" i="8"/>
  <c r="M6" i="8"/>
  <c r="L6" i="8"/>
  <c r="K6" i="8"/>
  <c r="J6" i="8"/>
  <c r="I6" i="8"/>
  <c r="H6" i="8"/>
  <c r="G6" i="8"/>
  <c r="F6" i="8"/>
  <c r="E6" i="8"/>
  <c r="D6" i="8"/>
  <c r="C6" i="8"/>
  <c r="I3" i="9"/>
  <c r="H3" i="9"/>
  <c r="G3" i="9"/>
  <c r="F3" i="9"/>
  <c r="E3" i="9"/>
  <c r="D3" i="9"/>
  <c r="C3" i="9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C8" i="8"/>
  <c r="D8" i="8"/>
  <c r="E8" i="8"/>
  <c r="F8" i="8"/>
  <c r="G8" i="8"/>
  <c r="H8" i="8"/>
  <c r="I8" i="8"/>
  <c r="J8" i="8"/>
  <c r="K8" i="8"/>
  <c r="L8" i="8"/>
  <c r="M8" i="8"/>
  <c r="N8" i="8"/>
  <c r="O8" i="8"/>
  <c r="P9" i="8"/>
  <c r="O9" i="8"/>
  <c r="N9" i="8"/>
  <c r="M9" i="8"/>
  <c r="L9" i="8"/>
  <c r="K9" i="8"/>
  <c r="J9" i="8"/>
  <c r="I9" i="8"/>
  <c r="H9" i="8"/>
  <c r="G9" i="8"/>
  <c r="F9" i="8"/>
  <c r="E9" i="8"/>
  <c r="D9" i="8"/>
  <c r="P8" i="8"/>
  <c r="P7" i="8"/>
  <c r="O7" i="8"/>
  <c r="N7" i="8"/>
  <c r="M7" i="8"/>
  <c r="L7" i="8"/>
  <c r="K7" i="8"/>
  <c r="J7" i="8"/>
  <c r="I7" i="8"/>
  <c r="H7" i="8"/>
  <c r="G7" i="8"/>
  <c r="F7" i="8"/>
  <c r="E7" i="8"/>
  <c r="D7" i="8"/>
  <c r="P6" i="8"/>
  <c r="P5" i="8"/>
  <c r="O5" i="8"/>
  <c r="N5" i="8"/>
  <c r="M5" i="8"/>
  <c r="L5" i="8"/>
  <c r="K5" i="8"/>
  <c r="J5" i="8"/>
  <c r="I5" i="8"/>
  <c r="H5" i="8"/>
  <c r="G5" i="8"/>
  <c r="F5" i="8"/>
  <c r="E5" i="8"/>
  <c r="D5" i="8"/>
  <c r="P4" i="8"/>
  <c r="J67" i="5"/>
  <c r="J68" i="5"/>
  <c r="K67" i="5"/>
  <c r="E95" i="5"/>
  <c r="G67" i="5"/>
  <c r="G68" i="5"/>
  <c r="H67" i="5"/>
  <c r="D95" i="5"/>
  <c r="F95" i="5"/>
  <c r="J71" i="5"/>
  <c r="K71" i="5"/>
  <c r="E93" i="5"/>
  <c r="G71" i="5"/>
  <c r="H71" i="5"/>
  <c r="D93" i="5"/>
  <c r="F93" i="5"/>
  <c r="J70" i="5"/>
  <c r="K70" i="5"/>
  <c r="E92" i="5"/>
  <c r="G70" i="5"/>
  <c r="H70" i="5"/>
  <c r="D92" i="5"/>
  <c r="F92" i="5"/>
  <c r="J69" i="5"/>
  <c r="K69" i="5"/>
  <c r="E91" i="5"/>
  <c r="G69" i="5"/>
  <c r="H69" i="5"/>
  <c r="D91" i="5"/>
  <c r="F91" i="5"/>
  <c r="K68" i="5"/>
  <c r="E90" i="5"/>
  <c r="H68" i="5"/>
  <c r="D90" i="5"/>
  <c r="F90" i="5"/>
  <c r="J66" i="5"/>
  <c r="K66" i="5"/>
  <c r="E89" i="5"/>
  <c r="G66" i="5"/>
  <c r="H66" i="5"/>
  <c r="D89" i="5"/>
  <c r="F89" i="5"/>
  <c r="J65" i="5"/>
  <c r="K65" i="5"/>
  <c r="E88" i="5"/>
  <c r="G65" i="5"/>
  <c r="H65" i="5"/>
  <c r="D88" i="5"/>
  <c r="F88" i="5"/>
  <c r="J64" i="5"/>
  <c r="K64" i="5"/>
  <c r="E87" i="5"/>
  <c r="G64" i="5"/>
  <c r="H64" i="5"/>
  <c r="D87" i="5"/>
  <c r="F87" i="5"/>
  <c r="J63" i="5"/>
  <c r="K63" i="5"/>
  <c r="E86" i="5"/>
  <c r="G63" i="5"/>
  <c r="H63" i="5"/>
  <c r="D86" i="5"/>
  <c r="F86" i="5"/>
  <c r="J62" i="5"/>
  <c r="K62" i="5"/>
  <c r="E85" i="5"/>
  <c r="G62" i="5"/>
  <c r="H62" i="5"/>
  <c r="D85" i="5"/>
  <c r="F85" i="5"/>
  <c r="J61" i="5"/>
  <c r="K61" i="5"/>
  <c r="E84" i="5"/>
  <c r="G61" i="5"/>
  <c r="H61" i="5"/>
  <c r="D84" i="5"/>
  <c r="F84" i="5"/>
  <c r="J60" i="5"/>
  <c r="K60" i="5"/>
  <c r="E83" i="5"/>
  <c r="G60" i="5"/>
  <c r="H60" i="5"/>
  <c r="D83" i="5"/>
  <c r="F83" i="5"/>
  <c r="J72" i="5"/>
  <c r="K72" i="5"/>
  <c r="G72" i="5"/>
  <c r="H72" i="5"/>
  <c r="N61" i="5"/>
  <c r="H23" i="5"/>
  <c r="O41" i="5"/>
  <c r="H24" i="5"/>
  <c r="O42" i="5"/>
  <c r="H25" i="5"/>
  <c r="O43" i="5"/>
  <c r="H26" i="5"/>
  <c r="O44" i="5"/>
  <c r="H27" i="5"/>
  <c r="O45" i="5"/>
  <c r="H28" i="5"/>
  <c r="O46" i="5"/>
  <c r="H29" i="5"/>
  <c r="O47" i="5"/>
  <c r="H30" i="5"/>
  <c r="O48" i="5"/>
  <c r="H31" i="5"/>
  <c r="O49" i="5"/>
  <c r="H32" i="5"/>
  <c r="O50" i="5"/>
  <c r="H33" i="5"/>
  <c r="O51" i="5"/>
  <c r="I34" i="5"/>
  <c r="I35" i="5"/>
  <c r="H34" i="5"/>
  <c r="O52" i="5"/>
  <c r="O54" i="5"/>
  <c r="N41" i="5"/>
  <c r="N42" i="5"/>
  <c r="N43" i="5"/>
  <c r="N44" i="5"/>
  <c r="N45" i="5"/>
  <c r="N46" i="5"/>
  <c r="N47" i="5"/>
  <c r="N48" i="5"/>
  <c r="N49" i="5"/>
  <c r="N50" i="5"/>
  <c r="N51" i="5"/>
  <c r="N52" i="5"/>
  <c r="N54" i="5"/>
  <c r="M41" i="5"/>
  <c r="M42" i="5"/>
  <c r="M43" i="5"/>
  <c r="M44" i="5"/>
  <c r="M45" i="5"/>
  <c r="M46" i="5"/>
  <c r="M47" i="5"/>
  <c r="M48" i="5"/>
  <c r="M49" i="5"/>
  <c r="M50" i="5"/>
  <c r="M51" i="5"/>
  <c r="M52" i="5"/>
  <c r="M54" i="5"/>
  <c r="L41" i="5"/>
  <c r="L42" i="5"/>
  <c r="L43" i="5"/>
  <c r="L44" i="5"/>
  <c r="L45" i="5"/>
  <c r="L46" i="5"/>
  <c r="L47" i="5"/>
  <c r="L48" i="5"/>
  <c r="L49" i="5"/>
  <c r="L50" i="5"/>
  <c r="L51" i="5"/>
  <c r="L52" i="5"/>
  <c r="L54" i="5"/>
  <c r="K41" i="5"/>
  <c r="K42" i="5"/>
  <c r="K43" i="5"/>
  <c r="K44" i="5"/>
  <c r="K45" i="5"/>
  <c r="K46" i="5"/>
  <c r="K47" i="5"/>
  <c r="K48" i="5"/>
  <c r="K49" i="5"/>
  <c r="K50" i="5"/>
  <c r="K51" i="5"/>
  <c r="K52" i="5"/>
  <c r="K54" i="5"/>
  <c r="J41" i="5"/>
  <c r="J42" i="5"/>
  <c r="J43" i="5"/>
  <c r="J44" i="5"/>
  <c r="J45" i="5"/>
  <c r="J46" i="5"/>
  <c r="J47" i="5"/>
  <c r="J48" i="5"/>
  <c r="J49" i="5"/>
  <c r="J50" i="5"/>
  <c r="J51" i="5"/>
  <c r="J52" i="5"/>
  <c r="J54" i="5"/>
  <c r="I41" i="5"/>
  <c r="I42" i="5"/>
  <c r="I43" i="5"/>
  <c r="I44" i="5"/>
  <c r="I45" i="5"/>
  <c r="I46" i="5"/>
  <c r="I47" i="5"/>
  <c r="I48" i="5"/>
  <c r="I49" i="5"/>
  <c r="I50" i="5"/>
  <c r="I51" i="5"/>
  <c r="I52" i="5"/>
  <c r="I54" i="5"/>
  <c r="H41" i="5"/>
  <c r="H42" i="5"/>
  <c r="H43" i="5"/>
  <c r="H44" i="5"/>
  <c r="H45" i="5"/>
  <c r="H46" i="5"/>
  <c r="H47" i="5"/>
  <c r="H48" i="5"/>
  <c r="H49" i="5"/>
  <c r="H50" i="5"/>
  <c r="H51" i="5"/>
  <c r="H52" i="5"/>
  <c r="H54" i="5"/>
  <c r="G41" i="5"/>
  <c r="G42" i="5"/>
  <c r="G43" i="5"/>
  <c r="G44" i="5"/>
  <c r="G45" i="5"/>
  <c r="G46" i="5"/>
  <c r="G47" i="5"/>
  <c r="G48" i="5"/>
  <c r="G49" i="5"/>
  <c r="G50" i="5"/>
  <c r="G51" i="5"/>
  <c r="G52" i="5"/>
  <c r="G54" i="5"/>
  <c r="F41" i="5"/>
  <c r="F42" i="5"/>
  <c r="F43" i="5"/>
  <c r="F44" i="5"/>
  <c r="F45" i="5"/>
  <c r="F46" i="5"/>
  <c r="F47" i="5"/>
  <c r="F48" i="5"/>
  <c r="F49" i="5"/>
  <c r="F50" i="5"/>
  <c r="F51" i="5"/>
  <c r="F52" i="5"/>
  <c r="F54" i="5"/>
  <c r="E41" i="5"/>
  <c r="E42" i="5"/>
  <c r="E43" i="5"/>
  <c r="E44" i="5"/>
  <c r="E45" i="5"/>
  <c r="E46" i="5"/>
  <c r="E47" i="5"/>
  <c r="E48" i="5"/>
  <c r="E49" i="5"/>
  <c r="E50" i="5"/>
  <c r="E51" i="5"/>
  <c r="E52" i="5"/>
  <c r="E54" i="5"/>
  <c r="H36" i="5"/>
  <c r="O18" i="5"/>
  <c r="N18" i="5"/>
  <c r="M18" i="5"/>
  <c r="L18" i="5"/>
  <c r="K18" i="5"/>
  <c r="J18" i="5"/>
  <c r="I18" i="5"/>
  <c r="H18" i="5"/>
  <c r="G18" i="5"/>
  <c r="F18" i="5"/>
  <c r="E18" i="5"/>
  <c r="F7" i="3"/>
  <c r="F6" i="3"/>
  <c r="F5" i="3"/>
  <c r="F4" i="3"/>
  <c r="F3" i="3"/>
  <c r="H7" i="2"/>
  <c r="H8" i="2"/>
  <c r="G8" i="2"/>
  <c r="F8" i="2"/>
  <c r="E8" i="2"/>
  <c r="H6" i="2"/>
  <c r="G6" i="2"/>
  <c r="F6" i="2"/>
  <c r="E6" i="2"/>
  <c r="D19" i="1"/>
  <c r="D8" i="1"/>
  <c r="D18" i="1"/>
  <c r="D7" i="1"/>
  <c r="D17" i="1"/>
  <c r="D16" i="1"/>
  <c r="D15" i="1"/>
  <c r="D14" i="1"/>
  <c r="D13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<sst xmlns="http://schemas.openxmlformats.org/spreadsheetml/2006/main" count="252" uniqueCount="161">
  <si>
    <t>Répartition de la population de France métropolitaine selon le niveau de limitation fonctionnelle auditive</t>
  </si>
  <si>
    <t>Légère</t>
  </si>
  <si>
    <t>Moyenne</t>
  </si>
  <si>
    <t>Grave</t>
  </si>
  <si>
    <t>Très grave ou surdité complète</t>
  </si>
  <si>
    <t>Total</t>
  </si>
  <si>
    <t>…dont surdité moyenne à complète</t>
  </si>
  <si>
    <t>France</t>
  </si>
  <si>
    <t>Champ : Ensemble de la population vivant à domicile et en institution</t>
  </si>
  <si>
    <t>Source : d'après Enquête Handicap-Santé 2008-2009, volet ménages et institutions, INSEE</t>
  </si>
  <si>
    <t>Taux d'équipement en prothèses auditives selon le niveau de limitation fonctionnelle auditive</t>
  </si>
  <si>
    <t>Déficience auditive moyenne à très grave</t>
  </si>
  <si>
    <t>Porte un appareil auditif</t>
  </si>
  <si>
    <t>Ne porte pas d’appareil mais en aurait besoin</t>
  </si>
  <si>
    <t>Taux de satisfaction des besoins exprimés</t>
  </si>
  <si>
    <t>Effectif total</t>
  </si>
  <si>
    <t>Taux d'équipement des déficients auditifs</t>
  </si>
  <si>
    <t>Méthode1</t>
  </si>
  <si>
    <t>Méthode2</t>
  </si>
  <si>
    <t>Écart</t>
  </si>
  <si>
    <t>Suède</t>
  </si>
  <si>
    <t>Royaume-Uni</t>
  </si>
  <si>
    <t>Allemagne</t>
  </si>
  <si>
    <t>Espagne</t>
  </si>
  <si>
    <t>Italie</t>
  </si>
  <si>
    <t>En utilisant les taux de population malentendantes publiées dans chaque pays et un taux de population appareillable de 50%</t>
  </si>
  <si>
    <t xml:space="preserve"> partant d’une prévalence des problèmes auditifs de 12% pour la population européenne et d’un taux de population appareillable de 50% et tenant compte du nombre de personnes appareillées, les taux d’équipement des populations étudiées sont les suivants : </t>
  </si>
  <si>
    <t>Source Alcimed 2009, page 4 &amp; 27:</t>
  </si>
  <si>
    <t>Tableau 4 – Une troisième comparaison internationale du taux d’équipement en prothèses auditives (2012)</t>
  </si>
  <si>
    <t>Taux d'équipement</t>
  </si>
  <si>
    <t>Équipement Binaural</t>
  </si>
  <si>
    <t xml:space="preserve"> prévalence</t>
  </si>
  <si>
    <t>2012 (% of stated impaired)</t>
  </si>
  <si>
    <t>2012 (% of population)</t>
  </si>
  <si>
    <t>Norvège</t>
  </si>
  <si>
    <t xml:space="preserve"> Suisse</t>
  </si>
  <si>
    <t xml:space="preserve"> Allemagne</t>
  </si>
  <si>
    <t xml:space="preserve"> France</t>
  </si>
  <si>
    <t xml:space="preserve"> Italie</t>
  </si>
  <si>
    <t xml:space="preserve"> Japon</t>
  </si>
  <si>
    <t>USA (MarkeTrak 2008)</t>
  </si>
  <si>
    <t>Source : Hougaard 2012, diapos 7 &amp; 8</t>
  </si>
  <si>
    <t>Tableau1</t>
  </si>
  <si>
    <t>Tableau2</t>
  </si>
  <si>
    <t>Tableau3</t>
  </si>
  <si>
    <t>Population 2012</t>
  </si>
  <si>
    <t>Source: Eurostat</t>
  </si>
  <si>
    <t>AGE</t>
  </si>
  <si>
    <t>Belgique</t>
  </si>
  <si>
    <t>Danemark</t>
  </si>
  <si>
    <t>France (métropolitaine)</t>
  </si>
  <si>
    <t>Pays-Bas</t>
  </si>
  <si>
    <t>Suisse</t>
  </si>
  <si>
    <t>De 0 à 19 ans</t>
  </si>
  <si>
    <t>De 20 à 39 ans</t>
  </si>
  <si>
    <t>De 40 à 44 ans</t>
  </si>
  <si>
    <t>De 45 à 49 ans</t>
  </si>
  <si>
    <t>De 50 à 54 ans</t>
  </si>
  <si>
    <t>De 55 à 59 ans</t>
  </si>
  <si>
    <t>De 60 à 64 ans</t>
  </si>
  <si>
    <t>De 65 à 69 ans</t>
  </si>
  <si>
    <t>De 70 à 74 ans</t>
  </si>
  <si>
    <t>De 75 à 79 ans</t>
  </si>
  <si>
    <t>De 80 à 84 ans</t>
  </si>
  <si>
    <t>85 ans ou plus</t>
  </si>
  <si>
    <t>Prévalence France 2009</t>
  </si>
  <si>
    <t>Niveau grave ou très grave</t>
  </si>
  <si>
    <t>Niveau moyen</t>
  </si>
  <si>
    <t>Léger</t>
  </si>
  <si>
    <t>–20</t>
  </si>
  <si>
    <t>20-39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</si>
  <si>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</si>
  <si>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</si>
  <si>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</si>
  <si>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</si>
  <si>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</si>
  <si>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</si>
  <si>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</si>
  <si>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</si>
  <si>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</si>
  <si>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</si>
  <si>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</si>
  <si>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Ensemble</t>
  </si>
  <si>
    <t>Population sourde 2012</t>
  </si>
  <si>
    <t>Source: nos calculs</t>
  </si>
  <si>
    <t>Ventes d’audioprothèses en 2011 par milliers d’habitants</t>
  </si>
  <si>
    <t>Ventes 2011 **</t>
  </si>
  <si>
    <t>Population 2012***</t>
  </si>
  <si>
    <t>Ventes/ 1000hts</t>
  </si>
  <si>
    <t>France=100</t>
  </si>
  <si>
    <t>Ventes/ 1000 sourds</t>
  </si>
  <si>
    <t>Appareillés</t>
  </si>
  <si>
    <t>http://www.hlf.no/</t>
  </si>
  <si>
    <t>Royaume-Uni*</t>
  </si>
  <si>
    <t>Suisse 2011</t>
  </si>
  <si>
    <t>Suisse 2010</t>
  </si>
  <si>
    <t>Royaume-Uni (Secteur privé)</t>
  </si>
  <si>
    <t>Sources:</t>
  </si>
  <si>
    <t>*Audio Info (brève du 8/3/2013), il se serait vendu 1 221 602 appareils en 2012 au Royaume Uni</t>
  </si>
  <si>
    <t>**Audio infos n° 173, Juillet - Août 2012, p.22 (AI12-Marché européen.pdf)</t>
  </si>
  <si>
    <t>***Eurostat: Population 2012</t>
  </si>
  <si>
    <t>**** prévalence par âge: Insee</t>
  </si>
  <si>
    <t>Figure 2 – Ventes d’audioprothèses en 2011 par milliers d’habitants</t>
  </si>
  <si>
    <t>Ventes 2011 (milliers)</t>
  </si>
  <si>
    <t>Ventes/ 1000hts France=100</t>
  </si>
  <si>
    <t>Vente/1000 malentendants France=100</t>
  </si>
  <si>
    <t>Tableau 5 – 10 bonnes raisons de ne pas s’équiper d’une prothèse auditive dans sept pays</t>
  </si>
  <si>
    <t xml:space="preserve"> Royaume-Uni</t>
  </si>
  <si>
    <t xml:space="preserve"> Norvège</t>
  </si>
  <si>
    <t>Je ne peux pas me payer d'appareil auditif.</t>
  </si>
  <si>
    <t>Je suis l'avis de l'ORL.</t>
  </si>
  <si>
    <t>J’ai d’autres priorités plus importantes.</t>
  </si>
  <si>
    <t>Mon problème d’audition n’est pas suffisamment important.</t>
  </si>
  <si>
    <t>Je suis le conseil de l'Audioprothésiste</t>
  </si>
  <si>
    <t>L’appareil ne vous rend pas une ouïe normale.</t>
  </si>
  <si>
    <t>L’appareil ne fonctionne pas bien dans un environnement bruyant.</t>
  </si>
  <si>
    <t>L’appareil n’est pas confortable.</t>
  </si>
  <si>
    <t>Je suis l'avis du médecin de famille.</t>
  </si>
  <si>
    <t>J’entends suffisamment bien dans la plupart des cas.</t>
  </si>
  <si>
    <t>Je n’entends mal que les sons aigus.</t>
  </si>
  <si>
    <t>Je serais gêné de porter un appareil auditif en public.</t>
  </si>
  <si>
    <t>J’ai un acouphène (bourdonnement dans les oreilles).</t>
  </si>
  <si>
    <t>Le design ne me plaît pas.</t>
  </si>
  <si>
    <t>Je n’admets pas en public avoir besoin d’un appareil auditif.</t>
  </si>
  <si>
    <t>Je tiens compte de l'opinion d'un autre usager.</t>
  </si>
  <si>
    <t>Je n'ai pas encore fait de tests d'audition.</t>
  </si>
  <si>
    <t>Je n’entends mal que les sons graves.</t>
  </si>
  <si>
    <t>Hougaard, Soren (EHIMA) What can we learn from 3668 users in 7 countries, PowerPoint presentation at the Advances in Audiology Conference, Las Vegas, Dec. 2012, 37 p. &lt;EuroTrak_LasVegas_Dec 2012.pdf&gt;</t>
  </si>
  <si>
    <t>Lecture du tableau : en Italie, 63 % des personnes ayant déclaré des difficultés d’audition mais ne pas porter de prothèse auditive ont classé dans les 10 premières justifications le fait qu’ils ne pouvaient pas se payer l’appareil.</t>
  </si>
  <si>
    <t>Source : Hougaard 2012</t>
  </si>
  <si>
    <t>Raison principale</t>
  </si>
  <si>
    <t>Raison secondaire</t>
  </si>
  <si>
    <t>Ce n'est pas une raison</t>
  </si>
  <si>
    <t>L’appareil ne fonctionne pas bien en environnement bruyant.</t>
  </si>
  <si>
    <t>Je suis le conseil de l'Audioprothésiste.</t>
  </si>
  <si>
    <t>Lecture du graphique: en France, 22% des personnes ayant déclaré des difficultés d’audition mais ne pas porter de prothèse auditive ont estimée que le prix de l’appareil n’était pas une raison de s’en priver.</t>
  </si>
  <si>
    <t>Source : Eurotrak 2012</t>
  </si>
  <si>
    <t>Figure 3 – 10 raisons de ne pas porter un appareil auditif en France</t>
  </si>
  <si>
    <t>Année</t>
  </si>
  <si>
    <t>2000-2012</t>
  </si>
  <si>
    <t>Source</t>
  </si>
  <si>
    <t>Appareils vendus</t>
  </si>
  <si>
    <t>Snitem</t>
  </si>
  <si>
    <t>Croissance annuelle</t>
  </si>
  <si>
    <t>Nombre d'audioprothésistes</t>
  </si>
  <si>
    <t>http://www.drees.sante.gouv.fr/serie-statistiques,753.html?publication=2000</t>
  </si>
  <si>
    <t>Nbre audios/nbre apps</t>
  </si>
  <si>
    <t>Indice appareils</t>
  </si>
  <si>
    <t>Indice audiopros</t>
  </si>
  <si>
    <t>Figure 4 – Nombre d’audioprothésistes et nombre de prothèses vendues en France (2000-2012)</t>
  </si>
  <si>
    <t>Figure 5 – Degré de satisfaction des porteurs d’audioprothèses dans sept pays</t>
  </si>
  <si>
    <t xml:space="preserve"> taille de l'échantillon</t>
  </si>
  <si>
    <t xml:space="preserve"> très satisfaits</t>
  </si>
  <si>
    <t xml:space="preserve"> satisfaits</t>
  </si>
  <si>
    <t xml:space="preserve"> assez satisfaits</t>
  </si>
  <si>
    <t xml:space="preserve"> neutres</t>
  </si>
  <si>
    <t xml:space="preserve"> assez mécontents</t>
  </si>
  <si>
    <t xml:space="preserve"> mécontents</t>
  </si>
  <si>
    <t xml:space="preserve"> très mécontents</t>
  </si>
  <si>
    <t>Source: Hougaard, Soren (EHIMA) What can we learn from 3668 users in 7 countries, PowerPoint presentation at the Advances in Audiology Conference, Las Vegas, Dec. 2012, 37 p. &lt;EuroTrak_LasVegas_Dec 2012.pdf&gt;</t>
  </si>
  <si>
    <t>Note: France et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</si>
</sst>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9" fontId="0" fillId="0" borderId="0" xfId="1" applyFont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9" fontId="0" fillId="0" borderId="0" xfId="0" applyNumberFormat="1"/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0" xfId="0" applyFont="1" applyFill="1" applyAlignment="1">
      <alignment horizontal="right"/>
    </xf>
    <xf numFmtId="164" fontId="0" fillId="3" borderId="0" xfId="1" applyNumberFormat="1" applyFont="1" applyFill="1"/>
    <xf numFmtId="9" fontId="0" fillId="3" borderId="0" xfId="0" applyNumberFormat="1" applyFill="1"/>
    <xf numFmtId="0" fontId="2" fillId="0" borderId="0" xfId="0" applyFont="1"/>
    <xf numFmtId="0" fontId="5" fillId="0" borderId="0" xfId="0" applyFont="1" applyAlignment="1">
      <alignment horizontal="right"/>
    </xf>
    <xf numFmtId="0" fontId="6" fillId="4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0" fontId="8" fillId="0" borderId="0" xfId="0" applyNumberFormat="1" applyFont="1" applyAlignment="1">
      <alignment horizontal="right" vertical="center" wrapText="1"/>
    </xf>
    <xf numFmtId="10" fontId="0" fillId="0" borderId="0" xfId="0" applyNumberFormat="1"/>
    <xf numFmtId="0" fontId="7" fillId="0" borderId="0" xfId="0" applyFont="1" applyAlignment="1">
      <alignment horizontal="left" vertical="center" wrapText="1"/>
    </xf>
    <xf numFmtId="10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165" fontId="0" fillId="0" borderId="0" xfId="0" applyNumberFormat="1"/>
    <xf numFmtId="164" fontId="0" fillId="0" borderId="0" xfId="1" applyNumberFormat="1" applyFont="1"/>
    <xf numFmtId="0" fontId="3" fillId="0" borderId="0" xfId="4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9" fontId="0" fillId="0" borderId="0" xfId="1" applyNumberFormat="1" applyFont="1"/>
    <xf numFmtId="0" fontId="9" fillId="0" borderId="0" xfId="0" applyFont="1" applyAlignment="1"/>
    <xf numFmtId="3" fontId="9" fillId="0" borderId="0" xfId="0" applyNumberFormat="1" applyFont="1" applyAlignment="1"/>
    <xf numFmtId="164" fontId="0" fillId="0" borderId="0" xfId="0" applyNumberFormat="1" applyAlignment="1"/>
    <xf numFmtId="2" fontId="9" fillId="0" borderId="0" xfId="0" applyNumberFormat="1" applyFont="1" applyAlignment="1"/>
    <xf numFmtId="2" fontId="9" fillId="0" borderId="2" xfId="0" applyNumberFormat="1" applyFont="1" applyBorder="1" applyAlignment="1"/>
    <xf numFmtId="166" fontId="0" fillId="0" borderId="0" xfId="0" applyNumberFormat="1" applyAlignment="1"/>
  </cellXfs>
  <cellStyles count="15">
    <cellStyle name="Lien hypertexte" xfId="2" builtinId="8" hidden="1"/>
    <cellStyle name="Lien hypertexte" xfId="4" builtinId="8"/>
    <cellStyle name="Lien hypertexte visité" xfId="3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Normal" xfId="0" builtinId="0"/>
    <cellStyle name="Pourcentage" xfId="1" builtinId="5"/>
  </cellStyles>
  <dxfs count="1">
    <dxf>
      <font>
        <color theme="0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720691163605"/>
          <c:y val="0.0601851851851852"/>
          <c:w val="0.754185039370079"/>
          <c:h val="0.8224693788276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'F2'!$D$82</c:f>
              <c:strCache>
                <c:ptCount val="1"/>
                <c:pt idx="0">
                  <c:v>Ventes/ 1000hts France=100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'F2'!$C$83:$C$93</c:f>
              <c:strCache>
                <c:ptCount val="11"/>
                <c:pt idx="0">
                  <c:v>Danemark</c:v>
                </c:pt>
                <c:pt idx="1">
                  <c:v>Norvège</c:v>
                </c:pt>
                <c:pt idx="2">
                  <c:v>Royaume-Uni</c:v>
                </c:pt>
                <c:pt idx="3">
                  <c:v>Suède</c:v>
                </c:pt>
                <c:pt idx="4">
                  <c:v>Pays-Bas</c:v>
                </c:pt>
                <c:pt idx="5">
                  <c:v>Suisse</c:v>
                </c:pt>
                <c:pt idx="6">
                  <c:v>Allemagne</c:v>
                </c:pt>
                <c:pt idx="7">
                  <c:v>France</c:v>
                </c:pt>
                <c:pt idx="8">
                  <c:v>Belgique</c:v>
                </c:pt>
                <c:pt idx="9">
                  <c:v>Italie</c:v>
                </c:pt>
                <c:pt idx="10">
                  <c:v>Espagne</c:v>
                </c:pt>
              </c:strCache>
            </c:strRef>
          </c:cat>
          <c:val>
            <c:numRef>
              <c:f>'F2'!$D$83:$D$93</c:f>
              <c:numCache>
                <c:formatCode>#,##0</c:formatCode>
                <c:ptCount val="11"/>
                <c:pt idx="0">
                  <c:v>274.1941014887012</c:v>
                </c:pt>
                <c:pt idx="1">
                  <c:v>257.7928103198016</c:v>
                </c:pt>
                <c:pt idx="2">
                  <c:v>237.4789641038944</c:v>
                </c:pt>
                <c:pt idx="3">
                  <c:v>187.1765097892409</c:v>
                </c:pt>
                <c:pt idx="4">
                  <c:v>169.0166376823851</c:v>
                </c:pt>
                <c:pt idx="5">
                  <c:v>138.497913642791</c:v>
                </c:pt>
                <c:pt idx="6">
                  <c:v>132.6662915698726</c:v>
                </c:pt>
                <c:pt idx="7">
                  <c:v>100.0</c:v>
                </c:pt>
                <c:pt idx="8">
                  <c:v>81.09393163787094</c:v>
                </c:pt>
                <c:pt idx="9">
                  <c:v>57.36089604526017</c:v>
                </c:pt>
                <c:pt idx="10">
                  <c:v>34.44758952608763</c:v>
                </c:pt>
              </c:numCache>
            </c:numRef>
          </c:val>
        </c:ser>
        <c:ser>
          <c:idx val="1"/>
          <c:order val="1"/>
          <c:tx>
            <c:strRef>
              <c:f>'F2'!$E$82</c:f>
              <c:strCache>
                <c:ptCount val="1"/>
                <c:pt idx="0">
                  <c:v>Vente/1000 malentendants France=100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'F2'!$C$83:$C$93</c:f>
              <c:strCache>
                <c:ptCount val="11"/>
                <c:pt idx="0">
                  <c:v>Danemark</c:v>
                </c:pt>
                <c:pt idx="1">
                  <c:v>Norvège</c:v>
                </c:pt>
                <c:pt idx="2">
                  <c:v>Royaume-Uni</c:v>
                </c:pt>
                <c:pt idx="3">
                  <c:v>Suède</c:v>
                </c:pt>
                <c:pt idx="4">
                  <c:v>Pays-Bas</c:v>
                </c:pt>
                <c:pt idx="5">
                  <c:v>Suisse</c:v>
                </c:pt>
                <c:pt idx="6">
                  <c:v>Allemagne</c:v>
                </c:pt>
                <c:pt idx="7">
                  <c:v>France</c:v>
                </c:pt>
                <c:pt idx="8">
                  <c:v>Belgique</c:v>
                </c:pt>
                <c:pt idx="9">
                  <c:v>Italie</c:v>
                </c:pt>
                <c:pt idx="10">
                  <c:v>Espagne</c:v>
                </c:pt>
              </c:strCache>
            </c:strRef>
          </c:cat>
          <c:val>
            <c:numRef>
              <c:f>'F2'!$E$83:$E$93</c:f>
              <c:numCache>
                <c:formatCode>#,##0</c:formatCode>
                <c:ptCount val="11"/>
                <c:pt idx="0">
                  <c:v>283.1566922006868</c:v>
                </c:pt>
                <c:pt idx="1">
                  <c:v>280.6746403340385</c:v>
                </c:pt>
                <c:pt idx="2">
                  <c:v>246.2236476327794</c:v>
                </c:pt>
                <c:pt idx="3">
                  <c:v>183.6181677190355</c:v>
                </c:pt>
                <c:pt idx="4">
                  <c:v>176.7614768521887</c:v>
                </c:pt>
                <c:pt idx="5">
                  <c:v>139.8592284076476</c:v>
                </c:pt>
                <c:pt idx="6">
                  <c:v>120.0436443464557</c:v>
                </c:pt>
                <c:pt idx="7">
                  <c:v>100.0</c:v>
                </c:pt>
                <c:pt idx="8">
                  <c:v>81.56849130760936</c:v>
                </c:pt>
                <c:pt idx="9">
                  <c:v>51.93441194762657</c:v>
                </c:pt>
                <c:pt idx="10">
                  <c:v>34.8219936746238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084092456"/>
        <c:axId val="-2084089336"/>
      </c:barChart>
      <c:catAx>
        <c:axId val="-2084092456"/>
        <c:scaling>
          <c:orientation val="minMax"/>
        </c:scaling>
        <c:delete val="0"/>
        <c:axPos val="l"/>
        <c:majorTickMark val="out"/>
        <c:minorTickMark val="none"/>
        <c:tickLblPos val="nextTo"/>
        <c:crossAx val="-2084089336"/>
        <c:crosses val="autoZero"/>
        <c:auto val="1"/>
        <c:lblAlgn val="ctr"/>
        <c:lblOffset val="100"/>
        <c:noMultiLvlLbl val="0"/>
      </c:catAx>
      <c:valAx>
        <c:axId val="-208408933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-2084092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176509186352"/>
          <c:y val="0.102696180834539"/>
          <c:w val="0.23898665791776"/>
          <c:h val="0.30101183780598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6498774430056"/>
          <c:y val="0.112957263100733"/>
          <c:w val="0.44944448059695"/>
          <c:h val="0.8521666033125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'F3'!$C$3</c:f>
              <c:strCache>
                <c:ptCount val="1"/>
                <c:pt idx="0">
                  <c:v>Raison principale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'F3'!$B$4:$B$13</c:f>
              <c:strCache>
                <c:ptCount val="10"/>
                <c:pt idx="0">
                  <c:v>J’entends suffisamment bien dans la plupart des cas.</c:v>
                </c:pt>
                <c:pt idx="1">
                  <c:v>L’appareil ne vous rend pas une ouïe normale.</c:v>
                </c:pt>
                <c:pt idx="2">
                  <c:v>L’appareil n’est pas confortable.</c:v>
                </c:pt>
                <c:pt idx="3">
                  <c:v>Je suis l'avis du médecin de famille.</c:v>
                </c:pt>
                <c:pt idx="4">
                  <c:v>L’appareil ne fonctionne pas bien en environnement bruyant.</c:v>
                </c:pt>
                <c:pt idx="5">
                  <c:v>Mon problème d’audition n’est pas suffisamment important.</c:v>
                </c:pt>
                <c:pt idx="6">
                  <c:v>Je suis le conseil de l'Audioprothésiste.</c:v>
                </c:pt>
                <c:pt idx="7">
                  <c:v>J’ai d’autres priorités plus importantes.</c:v>
                </c:pt>
                <c:pt idx="8">
                  <c:v>Je suis l'avis de l'ORL.</c:v>
                </c:pt>
                <c:pt idx="9">
                  <c:v>Je ne peux pas me payer d'appareil auditif.</c:v>
                </c:pt>
              </c:strCache>
            </c:strRef>
          </c:cat>
          <c:val>
            <c:numRef>
              <c:f>'F3'!$C$4:$C$13</c:f>
              <c:numCache>
                <c:formatCode>0%</c:formatCode>
                <c:ptCount val="10"/>
                <c:pt idx="0">
                  <c:v>0.251675567052205</c:v>
                </c:pt>
                <c:pt idx="1">
                  <c:v>0.331460100438536</c:v>
                </c:pt>
                <c:pt idx="2">
                  <c:v>0.332129785465795</c:v>
                </c:pt>
                <c:pt idx="3">
                  <c:v>0.343723358380624</c:v>
                </c:pt>
                <c:pt idx="4">
                  <c:v>0.36563640501182</c:v>
                </c:pt>
                <c:pt idx="5">
                  <c:v>0.370166810721087</c:v>
                </c:pt>
                <c:pt idx="6">
                  <c:v>0.374591676756493</c:v>
                </c:pt>
                <c:pt idx="7">
                  <c:v>0.414529850855122</c:v>
                </c:pt>
                <c:pt idx="8">
                  <c:v>0.486183348607066</c:v>
                </c:pt>
                <c:pt idx="9">
                  <c:v>0.554393406322216</c:v>
                </c:pt>
              </c:numCache>
            </c:numRef>
          </c:val>
        </c:ser>
        <c:ser>
          <c:idx val="1"/>
          <c:order val="1"/>
          <c:tx>
            <c:strRef>
              <c:f>'F3'!$D$3</c:f>
              <c:strCache>
                <c:ptCount val="1"/>
                <c:pt idx="0">
                  <c:v>Raison secondaire</c:v>
                </c:pt>
              </c:strCache>
            </c:strRef>
          </c:tx>
          <c:invertIfNegative val="0"/>
          <c:cat>
            <c:strRef>
              <c:f>'F3'!$B$4:$B$13</c:f>
              <c:strCache>
                <c:ptCount val="10"/>
                <c:pt idx="0">
                  <c:v>J’entends suffisamment bien dans la plupart des cas.</c:v>
                </c:pt>
                <c:pt idx="1">
                  <c:v>L’appareil ne vous rend pas une ouïe normale.</c:v>
                </c:pt>
                <c:pt idx="2">
                  <c:v>L’appareil n’est pas confortable.</c:v>
                </c:pt>
                <c:pt idx="3">
                  <c:v>Je suis l'avis du médecin de famille.</c:v>
                </c:pt>
                <c:pt idx="4">
                  <c:v>L’appareil ne fonctionne pas bien en environnement bruyant.</c:v>
                </c:pt>
                <c:pt idx="5">
                  <c:v>Mon problème d’audition n’est pas suffisamment important.</c:v>
                </c:pt>
                <c:pt idx="6">
                  <c:v>Je suis le conseil de l'Audioprothésiste.</c:v>
                </c:pt>
                <c:pt idx="7">
                  <c:v>J’ai d’autres priorités plus importantes.</c:v>
                </c:pt>
                <c:pt idx="8">
                  <c:v>Je suis l'avis de l'ORL.</c:v>
                </c:pt>
                <c:pt idx="9">
                  <c:v>Je ne peux pas me payer d'appareil auditif.</c:v>
                </c:pt>
              </c:strCache>
            </c:strRef>
          </c:cat>
          <c:val>
            <c:numRef>
              <c:f>'F3'!$D$4:$D$13</c:f>
              <c:numCache>
                <c:formatCode>0%</c:formatCode>
                <c:ptCount val="10"/>
                <c:pt idx="0">
                  <c:v>0.301525153723564</c:v>
                </c:pt>
                <c:pt idx="1">
                  <c:v>0.274517059034414</c:v>
                </c:pt>
                <c:pt idx="2">
                  <c:v>0.256429228752205</c:v>
                </c:pt>
                <c:pt idx="3">
                  <c:v>0.228666987103772</c:v>
                </c:pt>
                <c:pt idx="4">
                  <c:v>0.243361048075979</c:v>
                </c:pt>
                <c:pt idx="5">
                  <c:v>0.261322185442276</c:v>
                </c:pt>
                <c:pt idx="6">
                  <c:v>0.233056028152662</c:v>
                </c:pt>
                <c:pt idx="7">
                  <c:v>0.276867124505139</c:v>
                </c:pt>
                <c:pt idx="8">
                  <c:v>0.239670811846845</c:v>
                </c:pt>
                <c:pt idx="9">
                  <c:v>0.227389686362205</c:v>
                </c:pt>
              </c:numCache>
            </c:numRef>
          </c:val>
        </c:ser>
        <c:ser>
          <c:idx val="2"/>
          <c:order val="2"/>
          <c:tx>
            <c:strRef>
              <c:f>'F3'!$E$3</c:f>
              <c:strCache>
                <c:ptCount val="1"/>
                <c:pt idx="0">
                  <c:v>Ce n'est pas une raison</c:v>
                </c:pt>
              </c:strCache>
            </c:strRef>
          </c:tx>
          <c:invertIfNegative val="0"/>
          <c:cat>
            <c:strRef>
              <c:f>'F3'!$B$4:$B$13</c:f>
              <c:strCache>
                <c:ptCount val="10"/>
                <c:pt idx="0">
                  <c:v>J’entends suffisamment bien dans la plupart des cas.</c:v>
                </c:pt>
                <c:pt idx="1">
                  <c:v>L’appareil ne vous rend pas une ouïe normale.</c:v>
                </c:pt>
                <c:pt idx="2">
                  <c:v>L’appareil n’est pas confortable.</c:v>
                </c:pt>
                <c:pt idx="3">
                  <c:v>Je suis l'avis du médecin de famille.</c:v>
                </c:pt>
                <c:pt idx="4">
                  <c:v>L’appareil ne fonctionne pas bien en environnement bruyant.</c:v>
                </c:pt>
                <c:pt idx="5">
                  <c:v>Mon problème d’audition n’est pas suffisamment important.</c:v>
                </c:pt>
                <c:pt idx="6">
                  <c:v>Je suis le conseil de l'Audioprothésiste.</c:v>
                </c:pt>
                <c:pt idx="7">
                  <c:v>J’ai d’autres priorités plus importantes.</c:v>
                </c:pt>
                <c:pt idx="8">
                  <c:v>Je suis l'avis de l'ORL.</c:v>
                </c:pt>
                <c:pt idx="9">
                  <c:v>Je ne peux pas me payer d'appareil auditif.</c:v>
                </c:pt>
              </c:strCache>
            </c:strRef>
          </c:cat>
          <c:val>
            <c:numRef>
              <c:f>'F3'!$E$4:$E$13</c:f>
              <c:numCache>
                <c:formatCode>0%</c:formatCode>
                <c:ptCount val="10"/>
                <c:pt idx="0">
                  <c:v>0.446799279224233</c:v>
                </c:pt>
                <c:pt idx="1">
                  <c:v>0.394022840527052</c:v>
                </c:pt>
                <c:pt idx="2">
                  <c:v>0.411440985782003</c:v>
                </c:pt>
                <c:pt idx="3">
                  <c:v>0.427609654515607</c:v>
                </c:pt>
                <c:pt idx="4">
                  <c:v>0.391002546912203</c:v>
                </c:pt>
                <c:pt idx="5">
                  <c:v>0.36851100383664</c:v>
                </c:pt>
                <c:pt idx="6">
                  <c:v>0.392352295090848</c:v>
                </c:pt>
                <c:pt idx="7">
                  <c:v>0.308603024639741</c:v>
                </c:pt>
                <c:pt idx="8">
                  <c:v>0.274145839546091</c:v>
                </c:pt>
                <c:pt idx="9">
                  <c:v>0.21821690731558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-2082760392"/>
        <c:axId val="-2082757336"/>
      </c:barChart>
      <c:catAx>
        <c:axId val="-2082760392"/>
        <c:scaling>
          <c:orientation val="minMax"/>
        </c:scaling>
        <c:delete val="0"/>
        <c:axPos val="l"/>
        <c:majorTickMark val="none"/>
        <c:minorTickMark val="none"/>
        <c:tickLblPos val="nextTo"/>
        <c:crossAx val="-2082757336"/>
        <c:crosses val="autoZero"/>
        <c:auto val="1"/>
        <c:lblAlgn val="ctr"/>
        <c:lblOffset val="100"/>
        <c:noMultiLvlLbl val="0"/>
      </c:catAx>
      <c:valAx>
        <c:axId val="-20827573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-2082760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546322205592069"/>
          <c:y val="0.0"/>
          <c:w val="0.890735341966552"/>
          <c:h val="0.064578387092476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08641061465"/>
          <c:y val="0.0601851851851852"/>
          <c:w val="0.735019834330026"/>
          <c:h val="0.825308763487897"/>
        </c:manualLayout>
      </c:layout>
      <c:lineChart>
        <c:grouping val="standard"/>
        <c:varyColors val="0"/>
        <c:ser>
          <c:idx val="0"/>
          <c:order val="0"/>
          <c:tx>
            <c:strRef>
              <c:f>'F4'!$B$4</c:f>
              <c:strCache>
                <c:ptCount val="1"/>
                <c:pt idx="0">
                  <c:v>Appareils vendus</c:v>
                </c:pt>
              </c:strCache>
            </c:strRef>
          </c:tx>
          <c:marker>
            <c:symbol val="none"/>
          </c:marker>
          <c:cat>
            <c:numRef>
              <c:f>'F4'!$C$3:$O$3</c:f>
              <c:numCache>
                <c:formatCode>General</c:formatCode>
                <c:ptCount val="13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</c:numCache>
            </c:numRef>
          </c:cat>
          <c:val>
            <c:numRef>
              <c:f>'F4'!$C$4:$O$4</c:f>
              <c:numCache>
                <c:formatCode>#,##0</c:formatCode>
                <c:ptCount val="13"/>
                <c:pt idx="0">
                  <c:v>268248.0</c:v>
                </c:pt>
                <c:pt idx="1">
                  <c:v>275297.0</c:v>
                </c:pt>
                <c:pt idx="2">
                  <c:v>290090.0</c:v>
                </c:pt>
                <c:pt idx="3">
                  <c:v>321998.0</c:v>
                </c:pt>
                <c:pt idx="4">
                  <c:v>351773.0</c:v>
                </c:pt>
                <c:pt idx="5">
                  <c:v>364647.0</c:v>
                </c:pt>
                <c:pt idx="6">
                  <c:v>381934.0</c:v>
                </c:pt>
                <c:pt idx="7">
                  <c:v>407796.0</c:v>
                </c:pt>
                <c:pt idx="8">
                  <c:v>435884.0</c:v>
                </c:pt>
                <c:pt idx="9">
                  <c:v>463118.0</c:v>
                </c:pt>
                <c:pt idx="10">
                  <c:v>482155.0</c:v>
                </c:pt>
                <c:pt idx="11">
                  <c:v>518045.0</c:v>
                </c:pt>
                <c:pt idx="12">
                  <c:v>519994.0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3597960"/>
        <c:axId val="-2120210616"/>
      </c:lineChart>
      <c:lineChart>
        <c:grouping val="standard"/>
        <c:varyColors val="0"/>
        <c:ser>
          <c:idx val="1"/>
          <c:order val="1"/>
          <c:tx>
            <c:strRef>
              <c:f>'F4'!$B$6</c:f>
              <c:strCache>
                <c:ptCount val="1"/>
                <c:pt idx="0">
                  <c:v>Nombre d'audioprothésistes</c:v>
                </c:pt>
              </c:strCache>
            </c:strRef>
          </c:tx>
          <c:marker>
            <c:symbol val="none"/>
          </c:marker>
          <c:cat>
            <c:numRef>
              <c:f>'F4'!$C$3:$O$3</c:f>
              <c:numCache>
                <c:formatCode>General</c:formatCode>
                <c:ptCount val="13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</c:numCache>
            </c:numRef>
          </c:cat>
          <c:val>
            <c:numRef>
              <c:f>'F4'!$C$6:$O$6</c:f>
              <c:numCache>
                <c:formatCode>#,##0</c:formatCode>
                <c:ptCount val="13"/>
                <c:pt idx="0">
                  <c:v>1436.0</c:v>
                </c:pt>
                <c:pt idx="1">
                  <c:v>1540.0</c:v>
                </c:pt>
                <c:pt idx="2">
                  <c:v>1636.0</c:v>
                </c:pt>
                <c:pt idx="3">
                  <c:v>1730.0</c:v>
                </c:pt>
                <c:pt idx="4">
                  <c:v>1823.0</c:v>
                </c:pt>
                <c:pt idx="5">
                  <c:v>1923.0</c:v>
                </c:pt>
                <c:pt idx="6">
                  <c:v>2049.0</c:v>
                </c:pt>
                <c:pt idx="7">
                  <c:v>2138.0</c:v>
                </c:pt>
                <c:pt idx="8">
                  <c:v>2252.0</c:v>
                </c:pt>
                <c:pt idx="9">
                  <c:v>2376.0</c:v>
                </c:pt>
                <c:pt idx="10">
                  <c:v>2462.0</c:v>
                </c:pt>
                <c:pt idx="11">
                  <c:v>2625.0</c:v>
                </c:pt>
                <c:pt idx="12">
                  <c:v>2768.0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3744008"/>
        <c:axId val="-2084324552"/>
      </c:lineChart>
      <c:catAx>
        <c:axId val="-208359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0210616"/>
        <c:crosses val="autoZero"/>
        <c:auto val="1"/>
        <c:lblAlgn val="ctr"/>
        <c:lblOffset val="100"/>
        <c:noMultiLvlLbl val="0"/>
      </c:catAx>
      <c:valAx>
        <c:axId val="-2120210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Appareils vendus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-2083597960"/>
        <c:crosses val="autoZero"/>
        <c:crossBetween val="between"/>
      </c:valAx>
      <c:valAx>
        <c:axId val="-20843245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Nombre</a:t>
                </a:r>
                <a:r>
                  <a:rPr lang="fr-FR" baseline="0"/>
                  <a:t> d'audioprothésistes</a:t>
                </a:r>
                <a:endParaRPr lang="fr-FR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-2083744008"/>
        <c:crosses val="max"/>
        <c:crossBetween val="between"/>
      </c:valAx>
      <c:catAx>
        <c:axId val="-2083744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43245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56678410864947"/>
          <c:y val="0.620646164858763"/>
          <c:w val="0.342733976701796"/>
          <c:h val="0.0946759539672925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'F5'!$B$6</c:f>
              <c:strCache>
                <c:ptCount val="1"/>
                <c:pt idx="0">
                  <c:v> très satisfaits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'F5'!$C$5:$I$5</c:f>
              <c:strCache>
                <c:ptCount val="7"/>
                <c:pt idx="0">
                  <c:v> Japon</c:v>
                </c:pt>
                <c:pt idx="1">
                  <c:v> Italie</c:v>
                </c:pt>
                <c:pt idx="2">
                  <c:v> Norvège</c:v>
                </c:pt>
                <c:pt idx="3">
                  <c:v> Royaume-Uni</c:v>
                </c:pt>
                <c:pt idx="4">
                  <c:v> Allemagne</c:v>
                </c:pt>
                <c:pt idx="5">
                  <c:v> France</c:v>
                </c:pt>
                <c:pt idx="6">
                  <c:v> Suisse</c:v>
                </c:pt>
              </c:strCache>
            </c:strRef>
          </c:cat>
          <c:val>
            <c:numRef>
              <c:f>'F5'!$C$6:$I$6</c:f>
              <c:numCache>
                <c:formatCode>General</c:formatCode>
                <c:ptCount val="7"/>
                <c:pt idx="0">
                  <c:v>1.0</c:v>
                </c:pt>
                <c:pt idx="1">
                  <c:v>6.0</c:v>
                </c:pt>
                <c:pt idx="2">
                  <c:v>14.0</c:v>
                </c:pt>
                <c:pt idx="3">
                  <c:v>16.0</c:v>
                </c:pt>
                <c:pt idx="4">
                  <c:v>16.0</c:v>
                </c:pt>
                <c:pt idx="5">
                  <c:v>14.0</c:v>
                </c:pt>
                <c:pt idx="6">
                  <c:v>19.0</c:v>
                </c:pt>
              </c:numCache>
            </c:numRef>
          </c:val>
        </c:ser>
        <c:ser>
          <c:idx val="1"/>
          <c:order val="1"/>
          <c:tx>
            <c:strRef>
              <c:f>'F5'!$B$7</c:f>
              <c:strCache>
                <c:ptCount val="1"/>
                <c:pt idx="0">
                  <c:v> satisfaits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'F5'!$C$5:$I$5</c:f>
              <c:strCache>
                <c:ptCount val="7"/>
                <c:pt idx="0">
                  <c:v> Japon</c:v>
                </c:pt>
                <c:pt idx="1">
                  <c:v> Italie</c:v>
                </c:pt>
                <c:pt idx="2">
                  <c:v> Norvège</c:v>
                </c:pt>
                <c:pt idx="3">
                  <c:v> Royaume-Uni</c:v>
                </c:pt>
                <c:pt idx="4">
                  <c:v> Allemagne</c:v>
                </c:pt>
                <c:pt idx="5">
                  <c:v> France</c:v>
                </c:pt>
                <c:pt idx="6">
                  <c:v> Suisse</c:v>
                </c:pt>
              </c:strCache>
            </c:strRef>
          </c:cat>
          <c:val>
            <c:numRef>
              <c:f>'F5'!$C$7:$I$7</c:f>
              <c:numCache>
                <c:formatCode>General</c:formatCode>
                <c:ptCount val="7"/>
                <c:pt idx="0">
                  <c:v>14.0</c:v>
                </c:pt>
                <c:pt idx="1">
                  <c:v>24.0</c:v>
                </c:pt>
                <c:pt idx="2">
                  <c:v>43.0</c:v>
                </c:pt>
                <c:pt idx="3">
                  <c:v>35.0</c:v>
                </c:pt>
                <c:pt idx="4">
                  <c:v>35.0</c:v>
                </c:pt>
                <c:pt idx="5">
                  <c:v>50.0</c:v>
                </c:pt>
                <c:pt idx="6">
                  <c:v>46.0</c:v>
                </c:pt>
              </c:numCache>
            </c:numRef>
          </c:val>
        </c:ser>
        <c:ser>
          <c:idx val="2"/>
          <c:order val="2"/>
          <c:tx>
            <c:strRef>
              <c:f>'F5'!$B$8</c:f>
              <c:strCache>
                <c:ptCount val="1"/>
                <c:pt idx="0">
                  <c:v> assez satisfaits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'F5'!$C$5:$I$5</c:f>
              <c:strCache>
                <c:ptCount val="7"/>
                <c:pt idx="0">
                  <c:v> Japon</c:v>
                </c:pt>
                <c:pt idx="1">
                  <c:v> Italie</c:v>
                </c:pt>
                <c:pt idx="2">
                  <c:v> Norvège</c:v>
                </c:pt>
                <c:pt idx="3">
                  <c:v> Royaume-Uni</c:v>
                </c:pt>
                <c:pt idx="4">
                  <c:v> Allemagne</c:v>
                </c:pt>
                <c:pt idx="5">
                  <c:v> France</c:v>
                </c:pt>
                <c:pt idx="6">
                  <c:v> Suisse</c:v>
                </c:pt>
              </c:strCache>
            </c:strRef>
          </c:cat>
          <c:val>
            <c:numRef>
              <c:f>'F5'!$C$8:$I$8</c:f>
              <c:numCache>
                <c:formatCode>General</c:formatCode>
                <c:ptCount val="7"/>
                <c:pt idx="0">
                  <c:v>21.0</c:v>
                </c:pt>
                <c:pt idx="1">
                  <c:v>40.0</c:v>
                </c:pt>
                <c:pt idx="2">
                  <c:v>14.0</c:v>
                </c:pt>
                <c:pt idx="3">
                  <c:v>22.0</c:v>
                </c:pt>
                <c:pt idx="4">
                  <c:v>26.0</c:v>
                </c:pt>
                <c:pt idx="5">
                  <c:v>17.0</c:v>
                </c:pt>
                <c:pt idx="6">
                  <c:v>19.0</c:v>
                </c:pt>
              </c:numCache>
            </c:numRef>
          </c:val>
        </c:ser>
        <c:ser>
          <c:idx val="3"/>
          <c:order val="3"/>
          <c:tx>
            <c:strRef>
              <c:f>'F5'!$B$9</c:f>
              <c:strCache>
                <c:ptCount val="1"/>
                <c:pt idx="0">
                  <c:v> neutres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strRef>
              <c:f>'F5'!$C$5:$I$5</c:f>
              <c:strCache>
                <c:ptCount val="7"/>
                <c:pt idx="0">
                  <c:v> Japon</c:v>
                </c:pt>
                <c:pt idx="1">
                  <c:v> Italie</c:v>
                </c:pt>
                <c:pt idx="2">
                  <c:v> Norvège</c:v>
                </c:pt>
                <c:pt idx="3">
                  <c:v> Royaume-Uni</c:v>
                </c:pt>
                <c:pt idx="4">
                  <c:v> Allemagne</c:v>
                </c:pt>
                <c:pt idx="5">
                  <c:v> France</c:v>
                </c:pt>
                <c:pt idx="6">
                  <c:v> Suisse</c:v>
                </c:pt>
              </c:strCache>
            </c:strRef>
          </c:cat>
          <c:val>
            <c:numRef>
              <c:f>'F5'!$C$9:$I$9</c:f>
              <c:numCache>
                <c:formatCode>General</c:formatCode>
                <c:ptCount val="7"/>
                <c:pt idx="0">
                  <c:v>27.0</c:v>
                </c:pt>
                <c:pt idx="1">
                  <c:v>20.0</c:v>
                </c:pt>
                <c:pt idx="2">
                  <c:v>11.0</c:v>
                </c:pt>
                <c:pt idx="3">
                  <c:v>9.0</c:v>
                </c:pt>
                <c:pt idx="4">
                  <c:v>15.0</c:v>
                </c:pt>
                <c:pt idx="5">
                  <c:v>7.0</c:v>
                </c:pt>
                <c:pt idx="6">
                  <c:v>10.0</c:v>
                </c:pt>
              </c:numCache>
            </c:numRef>
          </c:val>
        </c:ser>
        <c:ser>
          <c:idx val="4"/>
          <c:order val="4"/>
          <c:tx>
            <c:strRef>
              <c:f>'F5'!$B$10</c:f>
              <c:strCache>
                <c:ptCount val="1"/>
                <c:pt idx="0">
                  <c:v> assez mécontents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'F5'!$C$5:$I$5</c:f>
              <c:strCache>
                <c:ptCount val="7"/>
                <c:pt idx="0">
                  <c:v> Japon</c:v>
                </c:pt>
                <c:pt idx="1">
                  <c:v> Italie</c:v>
                </c:pt>
                <c:pt idx="2">
                  <c:v> Norvège</c:v>
                </c:pt>
                <c:pt idx="3">
                  <c:v> Royaume-Uni</c:v>
                </c:pt>
                <c:pt idx="4">
                  <c:v> Allemagne</c:v>
                </c:pt>
                <c:pt idx="5">
                  <c:v> France</c:v>
                </c:pt>
                <c:pt idx="6">
                  <c:v> Suisse</c:v>
                </c:pt>
              </c:strCache>
            </c:strRef>
          </c:cat>
          <c:val>
            <c:numRef>
              <c:f>'F5'!$C$10:$I$10</c:f>
              <c:numCache>
                <c:formatCode>General</c:formatCode>
                <c:ptCount val="7"/>
                <c:pt idx="0">
                  <c:v>20.0</c:v>
                </c:pt>
                <c:pt idx="1">
                  <c:v>7.0</c:v>
                </c:pt>
                <c:pt idx="2">
                  <c:v>11.0</c:v>
                </c:pt>
                <c:pt idx="3">
                  <c:v>8.0</c:v>
                </c:pt>
                <c:pt idx="4">
                  <c:v>3.0</c:v>
                </c:pt>
                <c:pt idx="5">
                  <c:v>7.0</c:v>
                </c:pt>
                <c:pt idx="6">
                  <c:v>5.0</c:v>
                </c:pt>
              </c:numCache>
            </c:numRef>
          </c:val>
        </c:ser>
        <c:ser>
          <c:idx val="5"/>
          <c:order val="5"/>
          <c:tx>
            <c:strRef>
              <c:f>'F5'!$B$11</c:f>
              <c:strCache>
                <c:ptCount val="1"/>
                <c:pt idx="0">
                  <c:v> mécontents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'F5'!$C$5:$I$5</c:f>
              <c:strCache>
                <c:ptCount val="7"/>
                <c:pt idx="0">
                  <c:v> Japon</c:v>
                </c:pt>
                <c:pt idx="1">
                  <c:v> Italie</c:v>
                </c:pt>
                <c:pt idx="2">
                  <c:v> Norvège</c:v>
                </c:pt>
                <c:pt idx="3">
                  <c:v> Royaume-Uni</c:v>
                </c:pt>
                <c:pt idx="4">
                  <c:v> Allemagne</c:v>
                </c:pt>
                <c:pt idx="5">
                  <c:v> France</c:v>
                </c:pt>
                <c:pt idx="6">
                  <c:v> Suisse</c:v>
                </c:pt>
              </c:strCache>
            </c:strRef>
          </c:cat>
          <c:val>
            <c:numRef>
              <c:f>'F5'!$C$11:$I$11</c:f>
              <c:numCache>
                <c:formatCode>General</c:formatCode>
                <c:ptCount val="7"/>
                <c:pt idx="0">
                  <c:v>12.0</c:v>
                </c:pt>
                <c:pt idx="1">
                  <c:v>3.0</c:v>
                </c:pt>
                <c:pt idx="2">
                  <c:v>4.0</c:v>
                </c:pt>
                <c:pt idx="3">
                  <c:v>3.0</c:v>
                </c:pt>
                <c:pt idx="4">
                  <c:v>3.0</c:v>
                </c:pt>
                <c:pt idx="5">
                  <c:v>4.0</c:v>
                </c:pt>
                <c:pt idx="6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'F5'!$B$12</c:f>
              <c:strCache>
                <c:ptCount val="1"/>
                <c:pt idx="0">
                  <c:v> très mécontents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'F5'!$C$5:$I$5</c:f>
              <c:strCache>
                <c:ptCount val="7"/>
                <c:pt idx="0">
                  <c:v> Japon</c:v>
                </c:pt>
                <c:pt idx="1">
                  <c:v> Italie</c:v>
                </c:pt>
                <c:pt idx="2">
                  <c:v> Norvège</c:v>
                </c:pt>
                <c:pt idx="3">
                  <c:v> Royaume-Uni</c:v>
                </c:pt>
                <c:pt idx="4">
                  <c:v> Allemagne</c:v>
                </c:pt>
                <c:pt idx="5">
                  <c:v> France</c:v>
                </c:pt>
                <c:pt idx="6">
                  <c:v> Suisse</c:v>
                </c:pt>
              </c:strCache>
            </c:strRef>
          </c:cat>
          <c:val>
            <c:numRef>
              <c:f>'F5'!$C$12:$I$12</c:f>
              <c:numCache>
                <c:formatCode>General</c:formatCode>
                <c:ptCount val="7"/>
                <c:pt idx="0">
                  <c:v>5.0</c:v>
                </c:pt>
                <c:pt idx="1">
                  <c:v>0.0</c:v>
                </c:pt>
                <c:pt idx="2">
                  <c:v>3.0</c:v>
                </c:pt>
                <c:pt idx="3">
                  <c:v>7.0</c:v>
                </c:pt>
                <c:pt idx="4">
                  <c:v>2.0</c:v>
                </c:pt>
                <c:pt idx="5">
                  <c:v>1.0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-2084613368"/>
        <c:axId val="-2084610488"/>
      </c:barChart>
      <c:catAx>
        <c:axId val="-2084613368"/>
        <c:scaling>
          <c:orientation val="minMax"/>
        </c:scaling>
        <c:delete val="0"/>
        <c:axPos val="l"/>
        <c:majorTickMark val="none"/>
        <c:minorTickMark val="none"/>
        <c:tickLblPos val="nextTo"/>
        <c:crossAx val="-2084610488"/>
        <c:crosses val="autoZero"/>
        <c:auto val="1"/>
        <c:lblAlgn val="ctr"/>
        <c:lblOffset val="100"/>
        <c:noMultiLvlLbl val="0"/>
      </c:catAx>
      <c:valAx>
        <c:axId val="-2084610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-2084613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80</xdr:row>
      <xdr:rowOff>12700</xdr:rowOff>
    </xdr:from>
    <xdr:to>
      <xdr:col>14</xdr:col>
      <xdr:colOff>342900</xdr:colOff>
      <xdr:row>102</xdr:row>
      <xdr:rowOff>177800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539750</xdr:colOff>
      <xdr:row>8</xdr:row>
      <xdr:rowOff>25400</xdr:rowOff>
    </xdr:from>
    <xdr:to>
      <xdr:col>10</xdr:col>
      <xdr:colOff>0</xdr:colOff>
      <xdr:row>26</xdr:row>
      <xdr:rowOff>177800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692150</xdr:colOff>
      <xdr:row>10</xdr:row>
      <xdr:rowOff>25400</xdr:rowOff>
    </xdr:from>
    <xdr:to>
      <xdr:col>12</xdr:col>
      <xdr:colOff>774700</xdr:colOff>
      <xdr:row>29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450850</xdr:colOff>
      <xdr:row>14</xdr:row>
      <xdr:rowOff>127000</xdr:rowOff>
    </xdr:from>
    <xdr:to>
      <xdr:col>13</xdr:col>
      <xdr:colOff>6350</xdr:colOff>
      <xdr:row>29</xdr:row>
      <xdr:rowOff>12700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lf.no/" TargetMode="External"/><Relationship Id="rId2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rees.sante.gouv.fr/serie-statistiques,753.html?publication=2000" TargetMode="External"/><Relationship Id="rId2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B2" sqref="B2"/>
    </sheetView>
  </sheetViews>
  <sheetFormatPr baseColWidth="10" defaultRowHeight="15" x14ac:dyDescent="0"/>
  <cols>
    <col min="2" max="2" width="3.1640625" bestFit="1" customWidth="1"/>
    <col min="3" max="3" width="31.33203125" customWidth="1"/>
    <col min="4" max="4" width="10.1640625" bestFit="1" customWidth="1"/>
    <col min="5" max="5" width="5.6640625" bestFit="1" customWidth="1"/>
  </cols>
  <sheetData>
    <row r="2" spans="2:5">
      <c r="B2" s="5" t="s">
        <v>42</v>
      </c>
      <c r="C2" t="s">
        <v>0</v>
      </c>
    </row>
    <row r="3" spans="2:5">
      <c r="C3" t="s">
        <v>1</v>
      </c>
      <c r="D3" s="1">
        <v>4730142</v>
      </c>
      <c r="E3" s="2">
        <f>D3/D9</f>
        <v>7.4970044581270795E-2</v>
      </c>
    </row>
    <row r="4" spans="2:5">
      <c r="C4" t="s">
        <v>2</v>
      </c>
      <c r="D4" s="1">
        <v>3473962</v>
      </c>
      <c r="E4" s="2">
        <f>D4/D9</f>
        <v>5.506031024304147E-2</v>
      </c>
    </row>
    <row r="5" spans="2:5">
      <c r="C5" t="s">
        <v>3</v>
      </c>
      <c r="D5" s="1">
        <v>1600090</v>
      </c>
      <c r="E5" s="2">
        <f>D5/D9</f>
        <v>2.5360511086991805E-2</v>
      </c>
    </row>
    <row r="6" spans="2:5">
      <c r="C6" t="s">
        <v>4</v>
      </c>
      <c r="D6" s="1">
        <v>358579</v>
      </c>
      <c r="E6" s="2">
        <f>D6/D9</f>
        <v>5.6832720066136494E-3</v>
      </c>
    </row>
    <row r="7" spans="2:5">
      <c r="C7" t="s">
        <v>5</v>
      </c>
      <c r="D7" s="1">
        <f>SUM(D3:D6)</f>
        <v>10162773</v>
      </c>
      <c r="E7" s="2">
        <f>D7/D9</f>
        <v>0.16107413791791772</v>
      </c>
    </row>
    <row r="8" spans="2:5">
      <c r="C8" t="s">
        <v>6</v>
      </c>
      <c r="D8" s="1">
        <f>D4+D5+D6</f>
        <v>5432631</v>
      </c>
      <c r="E8" s="2">
        <f>D8/D9</f>
        <v>8.6104093336646925E-2</v>
      </c>
    </row>
    <row r="9" spans="2:5">
      <c r="C9" t="s">
        <v>7</v>
      </c>
      <c r="D9" s="1">
        <v>63093760</v>
      </c>
      <c r="E9" s="2">
        <f>D9/D9</f>
        <v>1</v>
      </c>
    </row>
    <row r="10" spans="2:5">
      <c r="C10" t="s">
        <v>8</v>
      </c>
    </row>
    <row r="11" spans="2:5">
      <c r="C11" t="s">
        <v>9</v>
      </c>
    </row>
    <row r="13" spans="2:5">
      <c r="C13" t="s">
        <v>1</v>
      </c>
      <c r="D13" s="1">
        <f>INT(D3/1000)*1000</f>
        <v>4730000</v>
      </c>
    </row>
    <row r="14" spans="2:5">
      <c r="C14" t="s">
        <v>2</v>
      </c>
      <c r="D14" s="1">
        <f t="shared" ref="D14:D19" si="0">INT(D4/1000)*1000</f>
        <v>3473000</v>
      </c>
    </row>
    <row r="15" spans="2:5">
      <c r="C15" t="s">
        <v>3</v>
      </c>
      <c r="D15" s="1">
        <f t="shared" si="0"/>
        <v>1600000</v>
      </c>
    </row>
    <row r="16" spans="2:5">
      <c r="C16" t="s">
        <v>4</v>
      </c>
      <c r="D16" s="1">
        <f t="shared" si="0"/>
        <v>358000</v>
      </c>
    </row>
    <row r="17" spans="3:4">
      <c r="C17" t="s">
        <v>5</v>
      </c>
      <c r="D17" s="1">
        <f t="shared" si="0"/>
        <v>10162000</v>
      </c>
    </row>
    <row r="18" spans="3:4">
      <c r="C18" t="s">
        <v>6</v>
      </c>
      <c r="D18" s="1">
        <f t="shared" si="0"/>
        <v>5432000</v>
      </c>
    </row>
    <row r="19" spans="3:4">
      <c r="C19" t="s">
        <v>7</v>
      </c>
      <c r="D19" s="1">
        <f t="shared" si="0"/>
        <v>63093000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B2" sqref="B2"/>
    </sheetView>
  </sheetViews>
  <sheetFormatPr baseColWidth="10" defaultRowHeight="15" x14ac:dyDescent="0"/>
  <cols>
    <col min="2" max="2" width="3.1640625" bestFit="1" customWidth="1"/>
    <col min="3" max="3" width="4.5" customWidth="1"/>
    <col min="4" max="4" width="38.1640625" bestFit="1" customWidth="1"/>
  </cols>
  <sheetData>
    <row r="2" spans="2:8">
      <c r="B2" s="5" t="s">
        <v>43</v>
      </c>
      <c r="C2" s="3" t="s">
        <v>10</v>
      </c>
    </row>
    <row r="3" spans="2:8" ht="60">
      <c r="E3" s="4" t="s">
        <v>2</v>
      </c>
      <c r="F3" s="4" t="s">
        <v>3</v>
      </c>
      <c r="G3" s="4" t="s">
        <v>4</v>
      </c>
      <c r="H3" s="4" t="s">
        <v>11</v>
      </c>
    </row>
    <row r="4" spans="2:8">
      <c r="D4" s="5" t="s">
        <v>12</v>
      </c>
      <c r="E4" s="1">
        <v>637772</v>
      </c>
      <c r="F4" s="1">
        <v>349402</v>
      </c>
      <c r="G4" s="1">
        <v>119986</v>
      </c>
      <c r="H4" s="1">
        <v>1107160</v>
      </c>
    </row>
    <row r="5" spans="2:8">
      <c r="D5" s="5" t="s">
        <v>13</v>
      </c>
      <c r="E5" s="1">
        <v>1080765</v>
      </c>
      <c r="F5" s="1">
        <v>725802</v>
      </c>
      <c r="G5" s="1">
        <v>166253</v>
      </c>
      <c r="H5" s="1">
        <v>1972820</v>
      </c>
    </row>
    <row r="6" spans="2:8">
      <c r="D6" s="5" t="s">
        <v>14</v>
      </c>
      <c r="E6" s="2">
        <f>E4/(E4+E5)</f>
        <v>0.37111333651821288</v>
      </c>
      <c r="F6" s="2">
        <f>F4/(F4+F5)</f>
        <v>0.32496344879669348</v>
      </c>
      <c r="G6" s="2">
        <f>G4/(G4+G5)</f>
        <v>0.41918117377436337</v>
      </c>
      <c r="H6" s="2">
        <f>H4/(H4+H5)</f>
        <v>0.35946986668744602</v>
      </c>
    </row>
    <row r="7" spans="2:8">
      <c r="D7" s="5" t="s">
        <v>15</v>
      </c>
      <c r="E7" s="1">
        <v>3473962</v>
      </c>
      <c r="F7" s="1">
        <v>1600090</v>
      </c>
      <c r="G7" s="1">
        <v>358579</v>
      </c>
      <c r="H7" s="1">
        <f>SUM(E7:G7)</f>
        <v>5432631</v>
      </c>
    </row>
    <row r="8" spans="2:8">
      <c r="D8" s="5" t="s">
        <v>16</v>
      </c>
      <c r="E8" s="2">
        <f>E4/E7</f>
        <v>0.18358634895833634</v>
      </c>
      <c r="F8" s="2">
        <f>F4/F7</f>
        <v>0.21836396702685473</v>
      </c>
      <c r="G8" s="2">
        <f>G4/G7</f>
        <v>0.33461524517609786</v>
      </c>
      <c r="H8" s="2">
        <f>H4/H7</f>
        <v>0.20379812286164845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C2" sqref="C2"/>
    </sheetView>
  </sheetViews>
  <sheetFormatPr baseColWidth="10" defaultRowHeight="15" x14ac:dyDescent="0"/>
  <cols>
    <col min="2" max="2" width="3.1640625" bestFit="1" customWidth="1"/>
    <col min="3" max="3" width="13.33203125" customWidth="1"/>
    <col min="6" max="6" width="5.6640625" bestFit="1" customWidth="1"/>
  </cols>
  <sheetData>
    <row r="2" spans="2:6">
      <c r="B2" s="16" t="s">
        <v>44</v>
      </c>
      <c r="D2" t="s">
        <v>17</v>
      </c>
      <c r="E2" t="s">
        <v>18</v>
      </c>
      <c r="F2" t="s">
        <v>19</v>
      </c>
    </row>
    <row r="3" spans="2:6">
      <c r="C3" t="s">
        <v>20</v>
      </c>
      <c r="D3" s="2">
        <v>0.5</v>
      </c>
      <c r="E3" s="2">
        <v>0.69</v>
      </c>
      <c r="F3" s="6">
        <f>E3/D3-1</f>
        <v>0.37999999999999989</v>
      </c>
    </row>
    <row r="4" spans="2:6">
      <c r="C4" t="s">
        <v>21</v>
      </c>
      <c r="D4" s="2">
        <v>0.4</v>
      </c>
      <c r="E4" s="2">
        <v>0.84</v>
      </c>
      <c r="F4" s="6">
        <f t="shared" ref="F4:F7" si="0">E4/D4-1</f>
        <v>1.0999999999999996</v>
      </c>
    </row>
    <row r="5" spans="2:6">
      <c r="C5" t="s">
        <v>22</v>
      </c>
      <c r="D5" s="2">
        <v>0.5</v>
      </c>
      <c r="E5" s="2">
        <v>0.5</v>
      </c>
      <c r="F5" s="6">
        <f t="shared" si="0"/>
        <v>0</v>
      </c>
    </row>
    <row r="6" spans="2:6">
      <c r="C6" t="s">
        <v>23</v>
      </c>
      <c r="D6" s="2">
        <v>0.15</v>
      </c>
      <c r="E6" s="2">
        <v>0.16</v>
      </c>
      <c r="F6" s="6">
        <f t="shared" si="0"/>
        <v>6.6666666666666652E-2</v>
      </c>
    </row>
    <row r="7" spans="2:6">
      <c r="C7" t="s">
        <v>24</v>
      </c>
      <c r="D7" s="2">
        <v>0.2</v>
      </c>
      <c r="E7" s="2">
        <v>0.27</v>
      </c>
      <c r="F7" s="6">
        <f t="shared" si="0"/>
        <v>0.35000000000000009</v>
      </c>
    </row>
    <row r="8" spans="2:6">
      <c r="C8" t="s">
        <v>25</v>
      </c>
    </row>
    <row r="9" spans="2:6">
      <c r="C9" t="s">
        <v>26</v>
      </c>
    </row>
    <row r="10" spans="2:6">
      <c r="C10" s="7" t="s">
        <v>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B2" sqref="B2"/>
    </sheetView>
  </sheetViews>
  <sheetFormatPr baseColWidth="10" defaultRowHeight="15" x14ac:dyDescent="0"/>
  <sheetData>
    <row r="2" spans="2:8">
      <c r="B2" t="s">
        <v>28</v>
      </c>
    </row>
    <row r="3" spans="2:8">
      <c r="C3" s="8"/>
      <c r="D3" s="9" t="s">
        <v>29</v>
      </c>
      <c r="E3" s="9"/>
      <c r="F3" s="10" t="s">
        <v>30</v>
      </c>
      <c r="G3" s="9"/>
      <c r="H3" s="11" t="s">
        <v>31</v>
      </c>
    </row>
    <row r="4" spans="2:8">
      <c r="C4" s="12"/>
      <c r="D4" s="10" t="s">
        <v>32</v>
      </c>
      <c r="E4" s="10" t="s">
        <v>33</v>
      </c>
      <c r="F4" s="10">
        <v>2012</v>
      </c>
      <c r="G4" s="10">
        <v>2010</v>
      </c>
      <c r="H4" s="10">
        <v>2012</v>
      </c>
    </row>
    <row r="5" spans="2:8">
      <c r="C5" s="8" t="s">
        <v>34</v>
      </c>
      <c r="D5" s="13">
        <v>0.42499999999999999</v>
      </c>
      <c r="E5" s="13">
        <v>3.6999999999999998E-2</v>
      </c>
      <c r="F5" s="14">
        <v>0.76</v>
      </c>
      <c r="G5" s="14">
        <v>0.75</v>
      </c>
      <c r="H5" s="13">
        <v>8.7999999999999995E-2</v>
      </c>
    </row>
    <row r="6" spans="2:8">
      <c r="C6" s="8" t="s">
        <v>21</v>
      </c>
      <c r="D6" s="13">
        <v>0.41099999999999998</v>
      </c>
      <c r="E6" s="13">
        <v>3.6999999999999998E-2</v>
      </c>
      <c r="F6" s="14">
        <v>0.74</v>
      </c>
      <c r="G6" s="14">
        <v>0.75</v>
      </c>
      <c r="H6" s="13">
        <v>9.0999999999999998E-2</v>
      </c>
    </row>
    <row r="7" spans="2:8">
      <c r="C7" s="8" t="s">
        <v>35</v>
      </c>
      <c r="D7" s="13">
        <v>0.38800000000000001</v>
      </c>
      <c r="E7" s="13">
        <v>3.4000000000000002E-2</v>
      </c>
      <c r="F7" s="14">
        <v>0.76</v>
      </c>
      <c r="G7" s="14">
        <v>0.63</v>
      </c>
      <c r="H7" s="13">
        <v>8.7999999999999995E-2</v>
      </c>
    </row>
    <row r="8" spans="2:8">
      <c r="C8" s="8" t="s">
        <v>36</v>
      </c>
      <c r="D8" s="13">
        <v>0.34</v>
      </c>
      <c r="E8" s="13">
        <v>4.2000000000000003E-2</v>
      </c>
      <c r="F8" s="14">
        <v>0.74</v>
      </c>
      <c r="G8" s="14">
        <v>0.6</v>
      </c>
      <c r="H8" s="13">
        <v>0.125</v>
      </c>
    </row>
    <row r="9" spans="2:8">
      <c r="C9" s="8" t="s">
        <v>37</v>
      </c>
      <c r="D9" s="13">
        <v>0.30399999999999999</v>
      </c>
      <c r="E9" s="13">
        <v>2.8000000000000001E-2</v>
      </c>
      <c r="F9" s="14">
        <v>0.64</v>
      </c>
      <c r="G9" s="14">
        <v>0.61</v>
      </c>
      <c r="H9" s="13">
        <v>9.4E-2</v>
      </c>
    </row>
    <row r="10" spans="2:8">
      <c r="C10" s="8" t="s">
        <v>38</v>
      </c>
      <c r="D10" s="13">
        <v>0.29599999999999999</v>
      </c>
      <c r="E10" s="13">
        <v>2.9000000000000001E-2</v>
      </c>
      <c r="F10" s="14">
        <v>0.44</v>
      </c>
      <c r="G10" s="14">
        <v>0.59</v>
      </c>
      <c r="H10" s="13">
        <v>0.11600000000000001</v>
      </c>
    </row>
    <row r="11" spans="2:8">
      <c r="C11" s="8" t="s">
        <v>39</v>
      </c>
      <c r="D11" s="13">
        <v>0.14099999999999999</v>
      </c>
      <c r="E11" s="13">
        <v>1.4999999999999999E-2</v>
      </c>
      <c r="F11" s="14">
        <v>0.39</v>
      </c>
      <c r="G11" s="14">
        <v>0.36</v>
      </c>
      <c r="H11" s="13">
        <v>0.109</v>
      </c>
    </row>
    <row r="12" spans="2:8">
      <c r="C12" s="8" t="s">
        <v>40</v>
      </c>
      <c r="D12" s="13">
        <v>0.246</v>
      </c>
      <c r="E12" s="13">
        <v>2.8000000000000001E-2</v>
      </c>
      <c r="F12" s="9"/>
      <c r="G12" s="9"/>
      <c r="H12" s="13">
        <v>0.113</v>
      </c>
    </row>
    <row r="13" spans="2:8">
      <c r="C13" s="15" t="s">
        <v>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5"/>
  <sheetViews>
    <sheetView topLeftCell="A76" workbookViewId="0">
      <selection activeCell="C82" sqref="C82:E93"/>
    </sheetView>
  </sheetViews>
  <sheetFormatPr baseColWidth="10" defaultRowHeight="15" x14ac:dyDescent="0"/>
  <cols>
    <col min="6" max="6" width="13.6640625" customWidth="1"/>
  </cols>
  <sheetData>
    <row r="2" spans="2:15">
      <c r="B2" t="s">
        <v>45</v>
      </c>
    </row>
    <row r="3" spans="2:15">
      <c r="B3" t="s">
        <v>46</v>
      </c>
    </row>
    <row r="4" spans="2:15">
      <c r="C4" s="17" t="s">
        <v>47</v>
      </c>
      <c r="D4" s="17"/>
      <c r="E4" s="17" t="s">
        <v>48</v>
      </c>
      <c r="F4" s="17" t="s">
        <v>49</v>
      </c>
      <c r="G4" s="17" t="s">
        <v>22</v>
      </c>
      <c r="H4" s="17" t="s">
        <v>23</v>
      </c>
      <c r="I4" s="17" t="s">
        <v>50</v>
      </c>
      <c r="J4" s="17" t="s">
        <v>24</v>
      </c>
      <c r="K4" s="17" t="s">
        <v>51</v>
      </c>
      <c r="L4" s="17" t="s">
        <v>20</v>
      </c>
      <c r="M4" s="17" t="s">
        <v>21</v>
      </c>
      <c r="N4" s="17" t="s">
        <v>34</v>
      </c>
      <c r="O4" s="17" t="s">
        <v>52</v>
      </c>
    </row>
    <row r="5" spans="2:15">
      <c r="C5" s="17" t="s">
        <v>53</v>
      </c>
      <c r="D5" s="17"/>
      <c r="E5" s="18">
        <v>2529587</v>
      </c>
      <c r="F5" s="18">
        <v>1345583</v>
      </c>
      <c r="G5" s="18">
        <v>14912550</v>
      </c>
      <c r="H5" s="18">
        <v>9205357</v>
      </c>
      <c r="I5" s="18">
        <v>15519123</v>
      </c>
      <c r="J5" s="18">
        <v>11434281</v>
      </c>
      <c r="K5" s="18">
        <v>3894754</v>
      </c>
      <c r="L5" s="18">
        <v>2176646</v>
      </c>
      <c r="M5" s="18">
        <v>14820270</v>
      </c>
      <c r="N5" s="18">
        <v>1248565</v>
      </c>
      <c r="O5" s="18">
        <v>1642543</v>
      </c>
    </row>
    <row r="6" spans="2:15">
      <c r="C6" s="17" t="s">
        <v>54</v>
      </c>
      <c r="D6" s="17"/>
      <c r="E6" s="18">
        <v>2867297</v>
      </c>
      <c r="F6" s="18">
        <v>1379701</v>
      </c>
      <c r="G6" s="18">
        <v>19678607</v>
      </c>
      <c r="H6" s="18">
        <v>13325796</v>
      </c>
      <c r="I6" s="18">
        <v>15830867</v>
      </c>
      <c r="J6" s="18">
        <v>15221025</v>
      </c>
      <c r="K6" s="18">
        <v>4141893</v>
      </c>
      <c r="L6" s="18">
        <v>2457057</v>
      </c>
      <c r="M6" s="18">
        <v>16814655</v>
      </c>
      <c r="N6" s="18">
        <v>1329961</v>
      </c>
      <c r="O6" s="18">
        <v>2120114</v>
      </c>
    </row>
    <row r="7" spans="2:15">
      <c r="C7" s="17" t="s">
        <v>55</v>
      </c>
      <c r="D7" s="17"/>
      <c r="E7" s="18">
        <v>787934</v>
      </c>
      <c r="F7" s="18">
        <v>392184</v>
      </c>
      <c r="G7" s="18">
        <v>6363154</v>
      </c>
      <c r="H7" s="18">
        <v>3765948</v>
      </c>
      <c r="I7" s="18">
        <v>4373102</v>
      </c>
      <c r="J7" s="18">
        <v>4927727</v>
      </c>
      <c r="K7" s="18">
        <v>1288553</v>
      </c>
      <c r="L7" s="18">
        <v>645713</v>
      </c>
      <c r="M7" s="18">
        <v>4555354</v>
      </c>
      <c r="N7" s="18">
        <v>373650</v>
      </c>
      <c r="O7" s="18">
        <v>624940</v>
      </c>
    </row>
    <row r="8" spans="2:15">
      <c r="C8" s="17" t="s">
        <v>56</v>
      </c>
      <c r="D8" s="17"/>
      <c r="E8" s="18">
        <v>827357</v>
      </c>
      <c r="F8" s="18">
        <v>422591</v>
      </c>
      <c r="G8" s="18">
        <v>7137634</v>
      </c>
      <c r="H8" s="18">
        <v>3537083</v>
      </c>
      <c r="I8" s="18">
        <v>4400445</v>
      </c>
      <c r="J8" s="18">
        <v>4885595</v>
      </c>
      <c r="K8" s="18">
        <v>1297305</v>
      </c>
      <c r="L8" s="18">
        <v>662411</v>
      </c>
      <c r="M8" s="18">
        <v>4654507</v>
      </c>
      <c r="N8" s="18">
        <v>351357</v>
      </c>
      <c r="O8" s="18">
        <v>662507</v>
      </c>
    </row>
    <row r="9" spans="2:15">
      <c r="C9" s="17" t="s">
        <v>57</v>
      </c>
      <c r="D9" s="17"/>
      <c r="E9" s="18">
        <v>792678</v>
      </c>
      <c r="F9" s="18">
        <v>369277</v>
      </c>
      <c r="G9" s="18">
        <v>6422953</v>
      </c>
      <c r="H9" s="18">
        <v>3172845</v>
      </c>
      <c r="I9" s="18">
        <v>4221443</v>
      </c>
      <c r="J9" s="18">
        <v>4248533</v>
      </c>
      <c r="K9" s="18">
        <v>1216443</v>
      </c>
      <c r="L9" s="18">
        <v>584502</v>
      </c>
      <c r="M9" s="18">
        <v>4147987</v>
      </c>
      <c r="N9" s="18">
        <v>322913</v>
      </c>
      <c r="O9" s="18">
        <v>582357</v>
      </c>
    </row>
    <row r="10" spans="2:15">
      <c r="C10" s="17" t="s">
        <v>58</v>
      </c>
      <c r="D10" s="17"/>
      <c r="E10" s="18">
        <v>716159</v>
      </c>
      <c r="F10" s="18">
        <v>352243</v>
      </c>
      <c r="G10" s="18">
        <v>5550054</v>
      </c>
      <c r="H10" s="18">
        <v>2702276</v>
      </c>
      <c r="I10" s="18">
        <v>4064841</v>
      </c>
      <c r="J10" s="18">
        <v>3788281</v>
      </c>
      <c r="K10" s="18">
        <v>1104542</v>
      </c>
      <c r="L10" s="18">
        <v>574437</v>
      </c>
      <c r="M10" s="18">
        <v>3623356</v>
      </c>
      <c r="N10" s="18">
        <v>305263</v>
      </c>
      <c r="O10" s="18">
        <v>499696</v>
      </c>
    </row>
    <row r="11" spans="2:15">
      <c r="C11" s="17" t="s">
        <v>59</v>
      </c>
      <c r="D11" s="17"/>
      <c r="E11" s="18">
        <v>648904</v>
      </c>
      <c r="F11" s="18">
        <v>350853</v>
      </c>
      <c r="G11" s="18">
        <v>4898241</v>
      </c>
      <c r="H11" s="18">
        <v>2457298</v>
      </c>
      <c r="I11" s="18">
        <v>4030845</v>
      </c>
      <c r="J11" s="18">
        <v>3759210</v>
      </c>
      <c r="K11" s="18">
        <v>1070490</v>
      </c>
      <c r="L11" s="18">
        <v>597421</v>
      </c>
      <c r="M11" s="18">
        <v>3689757</v>
      </c>
      <c r="N11" s="18">
        <v>286147</v>
      </c>
      <c r="O11" s="18">
        <v>457353</v>
      </c>
    </row>
    <row r="12" spans="2:15">
      <c r="C12" s="17" t="s">
        <v>60</v>
      </c>
      <c r="D12" s="17"/>
      <c r="E12" s="18">
        <v>522222</v>
      </c>
      <c r="F12" s="18">
        <v>339865</v>
      </c>
      <c r="G12" s="18">
        <v>4039543</v>
      </c>
      <c r="H12" s="18">
        <v>2182425</v>
      </c>
      <c r="I12" s="18">
        <v>2889313</v>
      </c>
      <c r="J12" s="18">
        <v>3175225</v>
      </c>
      <c r="K12" s="18">
        <v>874056</v>
      </c>
      <c r="L12" s="18">
        <v>578463</v>
      </c>
      <c r="M12" s="18">
        <v>3178804</v>
      </c>
      <c r="N12" s="18">
        <v>249106</v>
      </c>
      <c r="O12" s="18">
        <v>411009</v>
      </c>
    </row>
    <row r="13" spans="2:15">
      <c r="C13" s="17" t="s">
        <v>61</v>
      </c>
      <c r="D13" s="17"/>
      <c r="E13" s="18">
        <v>433486</v>
      </c>
      <c r="F13" s="18">
        <v>230590</v>
      </c>
      <c r="G13" s="18">
        <v>5001255</v>
      </c>
      <c r="H13" s="18">
        <v>1737847</v>
      </c>
      <c r="I13" s="18">
        <v>2319691</v>
      </c>
      <c r="J13" s="18">
        <v>3121173</v>
      </c>
      <c r="K13" s="18">
        <v>649753</v>
      </c>
      <c r="L13" s="18">
        <v>401432</v>
      </c>
      <c r="M13" s="18">
        <v>2468962</v>
      </c>
      <c r="N13" s="18">
        <v>167124</v>
      </c>
      <c r="O13" s="18">
        <v>312450</v>
      </c>
    </row>
    <row r="14" spans="2:15">
      <c r="C14" s="17" t="s">
        <v>62</v>
      </c>
      <c r="D14" s="17"/>
      <c r="E14" s="18">
        <v>396675</v>
      </c>
      <c r="F14" s="18">
        <v>167266</v>
      </c>
      <c r="G14" s="18">
        <v>3438528</v>
      </c>
      <c r="H14" s="18">
        <v>1700048</v>
      </c>
      <c r="I14" s="18">
        <v>2216170</v>
      </c>
      <c r="J14" s="18">
        <v>2539990</v>
      </c>
      <c r="K14" s="18">
        <v>506544</v>
      </c>
      <c r="L14" s="18">
        <v>306555</v>
      </c>
      <c r="M14" s="18">
        <v>2035258</v>
      </c>
      <c r="N14" s="18">
        <v>130201</v>
      </c>
      <c r="O14" s="18">
        <v>259407</v>
      </c>
    </row>
    <row r="15" spans="2:15">
      <c r="C15" s="17" t="s">
        <v>63</v>
      </c>
      <c r="D15" s="17"/>
      <c r="E15" s="18">
        <v>312325</v>
      </c>
      <c r="F15" s="18">
        <v>117322</v>
      </c>
      <c r="G15" s="18">
        <v>2367684</v>
      </c>
      <c r="H15" s="18">
        <v>1300518</v>
      </c>
      <c r="I15" s="18">
        <v>1807089</v>
      </c>
      <c r="J15" s="18">
        <v>1975398</v>
      </c>
      <c r="K15" s="18">
        <v>368582</v>
      </c>
      <c r="L15" s="18">
        <v>244891</v>
      </c>
      <c r="M15" s="18">
        <v>1529485</v>
      </c>
      <c r="N15" s="18">
        <v>107918</v>
      </c>
      <c r="O15" s="18">
        <v>197484</v>
      </c>
    </row>
    <row r="16" spans="2:15">
      <c r="C16" s="17" t="s">
        <v>64</v>
      </c>
      <c r="D16" s="17"/>
      <c r="E16" s="18">
        <v>260226</v>
      </c>
      <c r="F16" s="18">
        <v>113041</v>
      </c>
      <c r="G16" s="18">
        <v>2033540</v>
      </c>
      <c r="H16" s="18">
        <v>1108835</v>
      </c>
      <c r="I16" s="18">
        <v>1736262</v>
      </c>
      <c r="J16" s="18">
        <v>1744258</v>
      </c>
      <c r="K16" s="18">
        <v>317433</v>
      </c>
      <c r="L16" s="18">
        <v>253327</v>
      </c>
      <c r="M16" s="18">
        <v>1471156</v>
      </c>
      <c r="N16" s="18">
        <v>113665</v>
      </c>
      <c r="O16" s="18">
        <v>184802</v>
      </c>
    </row>
    <row r="17" spans="2:15"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>
      <c r="C18" s="17" t="s">
        <v>5</v>
      </c>
      <c r="D18" s="17"/>
      <c r="E18" s="18">
        <f>SUM(E5:E16)</f>
        <v>11094850</v>
      </c>
      <c r="F18" s="18">
        <f t="shared" ref="F18:O18" si="0">SUM(F5:F16)</f>
        <v>5580516</v>
      </c>
      <c r="G18" s="18">
        <f t="shared" si="0"/>
        <v>81843743</v>
      </c>
      <c r="H18" s="18">
        <f t="shared" si="0"/>
        <v>46196276</v>
      </c>
      <c r="I18" s="18">
        <f t="shared" si="0"/>
        <v>63409191</v>
      </c>
      <c r="J18" s="18">
        <f t="shared" si="0"/>
        <v>60820696</v>
      </c>
      <c r="K18" s="18">
        <f t="shared" si="0"/>
        <v>16730348</v>
      </c>
      <c r="L18" s="18">
        <f t="shared" si="0"/>
        <v>9482855</v>
      </c>
      <c r="M18" s="18">
        <f t="shared" si="0"/>
        <v>62989551</v>
      </c>
      <c r="N18" s="18">
        <f t="shared" si="0"/>
        <v>4985870</v>
      </c>
      <c r="O18" s="18">
        <f t="shared" si="0"/>
        <v>7954662</v>
      </c>
    </row>
    <row r="20" spans="2:15">
      <c r="B20" t="s">
        <v>65</v>
      </c>
    </row>
    <row r="21" spans="2:15">
      <c r="B21" t="s">
        <v>9</v>
      </c>
    </row>
    <row r="22" spans="2:15" ht="60">
      <c r="C22" s="19"/>
      <c r="D22" s="19"/>
      <c r="E22" s="19" t="s">
        <v>66</v>
      </c>
      <c r="F22" s="19" t="s">
        <v>67</v>
      </c>
      <c r="G22" s="19" t="s">
        <v>68</v>
      </c>
      <c r="H22" s="4" t="s">
        <v>11</v>
      </c>
    </row>
    <row r="23" spans="2:15">
      <c r="C23" s="20" t="s">
        <v>69</v>
      </c>
      <c r="D23" s="20"/>
      <c r="E23" s="21">
        <v>2.8E-3</v>
      </c>
      <c r="F23" s="21">
        <v>7.2999999999999992E-3</v>
      </c>
      <c r="G23" s="21">
        <v>1.7399999999999999E-2</v>
      </c>
      <c r="H23" s="22">
        <f>F23+E23</f>
        <v>1.01E-2</v>
      </c>
    </row>
    <row r="24" spans="2:15">
      <c r="C24" s="20" t="s">
        <v>70</v>
      </c>
      <c r="D24" s="20"/>
      <c r="E24" s="21">
        <v>7.4999999999999997E-3</v>
      </c>
      <c r="F24" s="21">
        <v>1.66E-2</v>
      </c>
      <c r="G24" s="21">
        <v>5.1299999999999998E-2</v>
      </c>
      <c r="H24" s="22">
        <f t="shared" ref="H24:H36" si="1">F24+E24</f>
        <v>2.41E-2</v>
      </c>
    </row>
    <row r="25" spans="2:15">
      <c r="C25" s="23" t="s">
        <v>71</v>
      </c>
      <c r="D25" s="23"/>
      <c r="E25" s="24">
        <v>1.18E-2</v>
      </c>
      <c r="F25" s="21">
        <v>3.32E-2</v>
      </c>
      <c r="G25" s="21">
        <v>6.3E-2</v>
      </c>
      <c r="H25" s="22">
        <f t="shared" si="1"/>
        <v>4.4999999999999998E-2</v>
      </c>
    </row>
    <row r="26" spans="2:15">
      <c r="C26" s="23" t="s">
        <v>72</v>
      </c>
      <c r="D26" s="23"/>
      <c r="E26" s="24">
        <v>2.63E-2</v>
      </c>
      <c r="F26" s="21">
        <v>4.0800000000000003E-2</v>
      </c>
      <c r="G26" s="21">
        <v>7.9700000000000007E-2</v>
      </c>
      <c r="H26" s="22">
        <f t="shared" si="1"/>
        <v>6.7100000000000007E-2</v>
      </c>
    </row>
    <row r="27" spans="2:15">
      <c r="C27" s="23" t="s">
        <v>73</v>
      </c>
      <c r="D27" s="23"/>
      <c r="E27" s="24">
        <v>2.9899999999999999E-2</v>
      </c>
      <c r="F27" s="21">
        <v>7.3400000000000007E-2</v>
      </c>
      <c r="G27" s="21">
        <v>0.11019999999999999</v>
      </c>
      <c r="H27" s="22">
        <f t="shared" si="1"/>
        <v>0.1033</v>
      </c>
    </row>
    <row r="28" spans="2:15">
      <c r="C28" s="23" t="s">
        <v>74</v>
      </c>
      <c r="D28" s="23"/>
      <c r="E28" s="24">
        <v>3.7400000000000003E-2</v>
      </c>
      <c r="F28" s="21">
        <v>8.0599999999999991E-2</v>
      </c>
      <c r="G28" s="21">
        <v>0.1152</v>
      </c>
      <c r="H28" s="22">
        <f t="shared" si="1"/>
        <v>0.11799999999999999</v>
      </c>
    </row>
    <row r="29" spans="2:15">
      <c r="C29" s="23" t="s">
        <v>75</v>
      </c>
      <c r="D29" s="23"/>
      <c r="E29" s="24">
        <v>4.3200000000000002E-2</v>
      </c>
      <c r="F29" s="21">
        <v>9.2899999999999996E-2</v>
      </c>
      <c r="G29" s="21">
        <v>0.13230000000000003</v>
      </c>
      <c r="H29" s="22">
        <f t="shared" si="1"/>
        <v>0.1361</v>
      </c>
    </row>
    <row r="30" spans="2:15">
      <c r="C30" s="23" t="s">
        <v>76</v>
      </c>
      <c r="D30" s="23"/>
      <c r="E30" s="24">
        <v>6.2100000000000002E-2</v>
      </c>
      <c r="F30" s="21">
        <v>0.14929999999999999</v>
      </c>
      <c r="G30" s="21">
        <v>0.14459999999999998</v>
      </c>
      <c r="H30" s="22">
        <f t="shared" si="1"/>
        <v>0.21139999999999998</v>
      </c>
    </row>
    <row r="31" spans="2:15">
      <c r="C31" s="23" t="s">
        <v>77</v>
      </c>
      <c r="D31" s="23"/>
      <c r="E31" s="24">
        <v>6.4699999999999994E-2</v>
      </c>
      <c r="F31" s="21">
        <v>0.17859999999999998</v>
      </c>
      <c r="G31" s="21">
        <v>0.15390000000000001</v>
      </c>
      <c r="H31" s="22">
        <f t="shared" si="1"/>
        <v>0.24329999999999996</v>
      </c>
    </row>
    <row r="32" spans="2:15">
      <c r="C32" s="23" t="s">
        <v>78</v>
      </c>
      <c r="D32" s="23"/>
      <c r="E32" s="24">
        <v>9.7500000000000003E-2</v>
      </c>
      <c r="F32" s="21">
        <v>0.17519999999999999</v>
      </c>
      <c r="G32" s="21">
        <v>0.17799999999999999</v>
      </c>
      <c r="H32" s="22">
        <f t="shared" si="1"/>
        <v>0.2727</v>
      </c>
    </row>
    <row r="33" spans="2:15">
      <c r="C33" s="23" t="s">
        <v>79</v>
      </c>
      <c r="D33" s="23"/>
      <c r="E33" s="24">
        <v>0.16159999999999999</v>
      </c>
      <c r="F33" s="21">
        <v>0.18679999999999999</v>
      </c>
      <c r="G33" s="21">
        <v>0.15430000000000005</v>
      </c>
      <c r="H33" s="22">
        <f t="shared" si="1"/>
        <v>0.34839999999999999</v>
      </c>
    </row>
    <row r="34" spans="2:15">
      <c r="C34" s="23" t="s">
        <v>80</v>
      </c>
      <c r="D34" s="23"/>
      <c r="E34" s="24">
        <v>0.25359999999999999</v>
      </c>
      <c r="F34" s="21">
        <v>0.2046</v>
      </c>
      <c r="G34" s="21">
        <v>0.13040000000000002</v>
      </c>
      <c r="H34" s="22">
        <f>(I34+I35)/2</f>
        <v>0.48199999999999998</v>
      </c>
      <c r="I34" s="22">
        <f>F34+E34</f>
        <v>0.4582</v>
      </c>
    </row>
    <row r="35" spans="2:15">
      <c r="C35" s="23" t="s">
        <v>81</v>
      </c>
      <c r="D35" s="23"/>
      <c r="E35" s="24">
        <v>0.33660000000000001</v>
      </c>
      <c r="F35" s="21">
        <v>0.16920000000000002</v>
      </c>
      <c r="G35" s="21">
        <v>0.13379999999999992</v>
      </c>
      <c r="H35" s="22"/>
      <c r="I35" s="22">
        <f>F35+E35</f>
        <v>0.50580000000000003</v>
      </c>
    </row>
    <row r="36" spans="2:15">
      <c r="C36" s="23" t="s">
        <v>82</v>
      </c>
      <c r="D36" s="23"/>
      <c r="E36" s="21">
        <v>3.1E-2</v>
      </c>
      <c r="F36" s="21">
        <v>5.5099999999999996E-2</v>
      </c>
      <c r="G36" s="21">
        <v>7.4999999999999997E-2</v>
      </c>
      <c r="H36" s="22">
        <f t="shared" si="1"/>
        <v>8.6099999999999996E-2</v>
      </c>
    </row>
    <row r="37" spans="2:15">
      <c r="C37" s="23"/>
      <c r="D37" s="23"/>
      <c r="E37" s="21"/>
      <c r="F37" s="21"/>
      <c r="G37" s="21"/>
      <c r="H37" s="22"/>
    </row>
    <row r="38" spans="2:15">
      <c r="B38" t="s">
        <v>83</v>
      </c>
      <c r="C38" s="23"/>
      <c r="D38" s="23"/>
      <c r="E38" s="21"/>
      <c r="F38" s="21"/>
      <c r="G38" s="21"/>
      <c r="H38" s="22"/>
    </row>
    <row r="39" spans="2:15">
      <c r="B39" t="s">
        <v>84</v>
      </c>
    </row>
    <row r="40" spans="2:15">
      <c r="C40" s="17" t="s">
        <v>47</v>
      </c>
      <c r="D40" s="17"/>
      <c r="E40" s="17" t="s">
        <v>48</v>
      </c>
      <c r="F40" s="17" t="s">
        <v>49</v>
      </c>
      <c r="G40" s="17" t="s">
        <v>22</v>
      </c>
      <c r="H40" s="17" t="s">
        <v>23</v>
      </c>
      <c r="I40" s="17" t="s">
        <v>50</v>
      </c>
      <c r="J40" s="17" t="s">
        <v>24</v>
      </c>
      <c r="K40" s="17" t="s">
        <v>51</v>
      </c>
      <c r="L40" s="17" t="s">
        <v>20</v>
      </c>
      <c r="M40" s="17" t="s">
        <v>21</v>
      </c>
      <c r="N40" s="17" t="s">
        <v>34</v>
      </c>
      <c r="O40" s="17" t="s">
        <v>52</v>
      </c>
    </row>
    <row r="41" spans="2:15">
      <c r="C41" s="17" t="s">
        <v>53</v>
      </c>
      <c r="D41" s="17"/>
      <c r="E41" s="18">
        <f t="shared" ref="E41:E52" si="2">H23*E5</f>
        <v>25548.828699999998</v>
      </c>
      <c r="F41" s="18">
        <f t="shared" ref="F41:F52" si="3">H23*F5</f>
        <v>13590.388299999999</v>
      </c>
      <c r="G41" s="18">
        <f t="shared" ref="G41:G52" si="4">H23*G5</f>
        <v>150616.755</v>
      </c>
      <c r="H41" s="18">
        <f t="shared" ref="H41:H52" si="5">H23*H5</f>
        <v>92974.1057</v>
      </c>
      <c r="I41" s="18">
        <f t="shared" ref="I41:I52" si="6">H23*I5</f>
        <v>156743.14230000001</v>
      </c>
      <c r="J41" s="18">
        <f t="shared" ref="J41:J52" si="7">H23*J5</f>
        <v>115486.2381</v>
      </c>
      <c r="K41" s="18">
        <f t="shared" ref="K41:K52" si="8">H23*K5</f>
        <v>39337.015399999997</v>
      </c>
      <c r="L41" s="18">
        <f t="shared" ref="L41:L52" si="9">H23*L5</f>
        <v>21984.124599999999</v>
      </c>
      <c r="M41" s="18">
        <f t="shared" ref="M41:M52" si="10">H23*M5</f>
        <v>149684.72699999998</v>
      </c>
      <c r="N41" s="18">
        <f t="shared" ref="N41:N52" si="11">H23*N5</f>
        <v>12610.5065</v>
      </c>
      <c r="O41" s="18">
        <f t="shared" ref="O41:O52" si="12">H23*O5</f>
        <v>16589.684300000001</v>
      </c>
    </row>
    <row r="42" spans="2:15">
      <c r="C42" s="17" t="s">
        <v>54</v>
      </c>
      <c r="D42" s="17"/>
      <c r="E42" s="18">
        <f t="shared" si="2"/>
        <v>69101.857699999993</v>
      </c>
      <c r="F42" s="18">
        <f t="shared" si="3"/>
        <v>33250.794099999999</v>
      </c>
      <c r="G42" s="18">
        <f t="shared" si="4"/>
        <v>474254.42869999999</v>
      </c>
      <c r="H42" s="18">
        <f t="shared" si="5"/>
        <v>321151.68359999999</v>
      </c>
      <c r="I42" s="18">
        <f t="shared" si="6"/>
        <v>381523.8947</v>
      </c>
      <c r="J42" s="18">
        <f t="shared" si="7"/>
        <v>366826.70250000001</v>
      </c>
      <c r="K42" s="18">
        <f t="shared" si="8"/>
        <v>99819.621299999999</v>
      </c>
      <c r="L42" s="18">
        <f t="shared" si="9"/>
        <v>59215.073700000001</v>
      </c>
      <c r="M42" s="18">
        <f t="shared" si="10"/>
        <v>405233.18550000002</v>
      </c>
      <c r="N42" s="18">
        <f t="shared" si="11"/>
        <v>32052.060099999999</v>
      </c>
      <c r="O42" s="18">
        <f t="shared" si="12"/>
        <v>51094.7474</v>
      </c>
    </row>
    <row r="43" spans="2:15">
      <c r="C43" s="17" t="s">
        <v>55</v>
      </c>
      <c r="D43" s="17"/>
      <c r="E43" s="18">
        <f t="shared" si="2"/>
        <v>35457.03</v>
      </c>
      <c r="F43" s="18">
        <f t="shared" si="3"/>
        <v>17648.28</v>
      </c>
      <c r="G43" s="18">
        <f t="shared" si="4"/>
        <v>286341.93</v>
      </c>
      <c r="H43" s="18">
        <f t="shared" si="5"/>
        <v>169467.66</v>
      </c>
      <c r="I43" s="18">
        <f t="shared" si="6"/>
        <v>196789.59</v>
      </c>
      <c r="J43" s="18">
        <f t="shared" si="7"/>
        <v>221747.715</v>
      </c>
      <c r="K43" s="18">
        <f t="shared" si="8"/>
        <v>57984.884999999995</v>
      </c>
      <c r="L43" s="18">
        <f t="shared" si="9"/>
        <v>29057.084999999999</v>
      </c>
      <c r="M43" s="18">
        <f t="shared" si="10"/>
        <v>204990.93</v>
      </c>
      <c r="N43" s="18">
        <f t="shared" si="11"/>
        <v>16814.25</v>
      </c>
      <c r="O43" s="18">
        <f t="shared" si="12"/>
        <v>28122.3</v>
      </c>
    </row>
    <row r="44" spans="2:15">
      <c r="C44" s="17" t="s">
        <v>56</v>
      </c>
      <c r="D44" s="17"/>
      <c r="E44" s="18">
        <f t="shared" si="2"/>
        <v>55515.654700000006</v>
      </c>
      <c r="F44" s="18">
        <f t="shared" si="3"/>
        <v>28355.856100000005</v>
      </c>
      <c r="G44" s="18">
        <f t="shared" si="4"/>
        <v>478935.24140000006</v>
      </c>
      <c r="H44" s="18">
        <f t="shared" si="5"/>
        <v>237338.26930000001</v>
      </c>
      <c r="I44" s="18">
        <f t="shared" si="6"/>
        <v>295269.85950000002</v>
      </c>
      <c r="J44" s="18">
        <f t="shared" si="7"/>
        <v>327823.42450000002</v>
      </c>
      <c r="K44" s="18">
        <f t="shared" si="8"/>
        <v>87049.165500000003</v>
      </c>
      <c r="L44" s="18">
        <f t="shared" si="9"/>
        <v>44447.778100000003</v>
      </c>
      <c r="M44" s="18">
        <f t="shared" si="10"/>
        <v>312317.41970000003</v>
      </c>
      <c r="N44" s="18">
        <f t="shared" si="11"/>
        <v>23576.054700000001</v>
      </c>
      <c r="O44" s="18">
        <f t="shared" si="12"/>
        <v>44454.219700000001</v>
      </c>
    </row>
    <row r="45" spans="2:15">
      <c r="C45" s="17" t="s">
        <v>57</v>
      </c>
      <c r="D45" s="17"/>
      <c r="E45" s="18">
        <f t="shared" si="2"/>
        <v>81883.637400000007</v>
      </c>
      <c r="F45" s="18">
        <f t="shared" si="3"/>
        <v>38146.314100000003</v>
      </c>
      <c r="G45" s="18">
        <f t="shared" si="4"/>
        <v>663491.04489999998</v>
      </c>
      <c r="H45" s="18">
        <f t="shared" si="5"/>
        <v>327754.8885</v>
      </c>
      <c r="I45" s="18">
        <f t="shared" si="6"/>
        <v>436075.06190000003</v>
      </c>
      <c r="J45" s="18">
        <f t="shared" si="7"/>
        <v>438873.45890000003</v>
      </c>
      <c r="K45" s="18">
        <f t="shared" si="8"/>
        <v>125658.5619</v>
      </c>
      <c r="L45" s="18">
        <f t="shared" si="9"/>
        <v>60379.056600000004</v>
      </c>
      <c r="M45" s="18">
        <f t="shared" si="10"/>
        <v>428487.05710000003</v>
      </c>
      <c r="N45" s="18">
        <f t="shared" si="11"/>
        <v>33356.912900000003</v>
      </c>
      <c r="O45" s="18">
        <f t="shared" si="12"/>
        <v>60157.4781</v>
      </c>
    </row>
    <row r="46" spans="2:15">
      <c r="C46" s="17" t="s">
        <v>58</v>
      </c>
      <c r="D46" s="17"/>
      <c r="E46" s="18">
        <f t="shared" si="2"/>
        <v>84506.762000000002</v>
      </c>
      <c r="F46" s="18">
        <f t="shared" si="3"/>
        <v>41564.673999999999</v>
      </c>
      <c r="G46" s="18">
        <f t="shared" si="4"/>
        <v>654906.37199999997</v>
      </c>
      <c r="H46" s="18">
        <f t="shared" si="5"/>
        <v>318868.56799999997</v>
      </c>
      <c r="I46" s="18">
        <f t="shared" si="6"/>
        <v>479651.23799999995</v>
      </c>
      <c r="J46" s="18">
        <f t="shared" si="7"/>
        <v>447017.158</v>
      </c>
      <c r="K46" s="18">
        <f t="shared" si="8"/>
        <v>130335.95599999999</v>
      </c>
      <c r="L46" s="18">
        <f t="shared" si="9"/>
        <v>67783.565999999992</v>
      </c>
      <c r="M46" s="18">
        <f t="shared" si="10"/>
        <v>427556.00799999997</v>
      </c>
      <c r="N46" s="18">
        <f t="shared" si="11"/>
        <v>36021.034</v>
      </c>
      <c r="O46" s="18">
        <f t="shared" si="12"/>
        <v>58964.127999999997</v>
      </c>
    </row>
    <row r="47" spans="2:15">
      <c r="C47" s="17" t="s">
        <v>59</v>
      </c>
      <c r="D47" s="17"/>
      <c r="E47" s="18">
        <f t="shared" si="2"/>
        <v>88315.834399999992</v>
      </c>
      <c r="F47" s="18">
        <f t="shared" si="3"/>
        <v>47751.0933</v>
      </c>
      <c r="G47" s="18">
        <f t="shared" si="4"/>
        <v>666650.60010000004</v>
      </c>
      <c r="H47" s="18">
        <f t="shared" si="5"/>
        <v>334438.25780000002</v>
      </c>
      <c r="I47" s="18">
        <f t="shared" si="6"/>
        <v>548598.00450000004</v>
      </c>
      <c r="J47" s="18">
        <f t="shared" si="7"/>
        <v>511628.48099999997</v>
      </c>
      <c r="K47" s="18">
        <f t="shared" si="8"/>
        <v>145693.68900000001</v>
      </c>
      <c r="L47" s="18">
        <f t="shared" si="9"/>
        <v>81308.998099999997</v>
      </c>
      <c r="M47" s="18">
        <f t="shared" si="10"/>
        <v>502175.9277</v>
      </c>
      <c r="N47" s="18">
        <f t="shared" si="11"/>
        <v>38944.606699999997</v>
      </c>
      <c r="O47" s="18">
        <f t="shared" si="12"/>
        <v>62245.743300000002</v>
      </c>
    </row>
    <row r="48" spans="2:15">
      <c r="C48" s="17" t="s">
        <v>60</v>
      </c>
      <c r="D48" s="17"/>
      <c r="E48" s="18">
        <f t="shared" si="2"/>
        <v>110397.73079999999</v>
      </c>
      <c r="F48" s="18">
        <f t="shared" si="3"/>
        <v>71847.460999999996</v>
      </c>
      <c r="G48" s="18">
        <f t="shared" si="4"/>
        <v>853959.39019999991</v>
      </c>
      <c r="H48" s="18">
        <f t="shared" si="5"/>
        <v>461364.64499999996</v>
      </c>
      <c r="I48" s="18">
        <f t="shared" si="6"/>
        <v>610800.76819999993</v>
      </c>
      <c r="J48" s="18">
        <f t="shared" si="7"/>
        <v>671242.56499999994</v>
      </c>
      <c r="K48" s="18">
        <f t="shared" si="8"/>
        <v>184775.43839999998</v>
      </c>
      <c r="L48" s="18">
        <f t="shared" si="9"/>
        <v>122287.07819999999</v>
      </c>
      <c r="M48" s="18">
        <f t="shared" si="10"/>
        <v>671999.16559999995</v>
      </c>
      <c r="N48" s="18">
        <f t="shared" si="11"/>
        <v>52661.008399999992</v>
      </c>
      <c r="O48" s="18">
        <f t="shared" si="12"/>
        <v>86887.302599999995</v>
      </c>
    </row>
    <row r="49" spans="2:15">
      <c r="C49" s="17" t="s">
        <v>61</v>
      </c>
      <c r="D49" s="17"/>
      <c r="E49" s="18">
        <f t="shared" si="2"/>
        <v>105467.14379999998</v>
      </c>
      <c r="F49" s="18">
        <f t="shared" si="3"/>
        <v>56102.546999999991</v>
      </c>
      <c r="G49" s="18">
        <f t="shared" si="4"/>
        <v>1216805.3414999999</v>
      </c>
      <c r="H49" s="18">
        <f t="shared" si="5"/>
        <v>422818.17509999993</v>
      </c>
      <c r="I49" s="18">
        <f t="shared" si="6"/>
        <v>564380.8202999999</v>
      </c>
      <c r="J49" s="18">
        <f t="shared" si="7"/>
        <v>759381.39089999988</v>
      </c>
      <c r="K49" s="18">
        <f t="shared" si="8"/>
        <v>158084.90489999996</v>
      </c>
      <c r="L49" s="18">
        <f t="shared" si="9"/>
        <v>97668.405599999984</v>
      </c>
      <c r="M49" s="18">
        <f t="shared" si="10"/>
        <v>600698.45459999994</v>
      </c>
      <c r="N49" s="18">
        <f t="shared" si="11"/>
        <v>40661.269199999995</v>
      </c>
      <c r="O49" s="18">
        <f t="shared" si="12"/>
        <v>76019.084999999992</v>
      </c>
    </row>
    <row r="50" spans="2:15">
      <c r="C50" s="17" t="s">
        <v>62</v>
      </c>
      <c r="D50" s="17"/>
      <c r="E50" s="18">
        <f t="shared" si="2"/>
        <v>108173.27250000001</v>
      </c>
      <c r="F50" s="18">
        <f t="shared" si="3"/>
        <v>45613.438199999997</v>
      </c>
      <c r="G50" s="18">
        <f t="shared" si="4"/>
        <v>937686.58559999999</v>
      </c>
      <c r="H50" s="18">
        <f t="shared" si="5"/>
        <v>463603.08960000001</v>
      </c>
      <c r="I50" s="18">
        <f t="shared" si="6"/>
        <v>604349.55900000001</v>
      </c>
      <c r="J50" s="18">
        <f t="shared" si="7"/>
        <v>692655.27300000004</v>
      </c>
      <c r="K50" s="18">
        <f t="shared" si="8"/>
        <v>138134.54879999999</v>
      </c>
      <c r="L50" s="18">
        <f t="shared" si="9"/>
        <v>83597.548500000004</v>
      </c>
      <c r="M50" s="18">
        <f t="shared" si="10"/>
        <v>555014.85659999994</v>
      </c>
      <c r="N50" s="18">
        <f t="shared" si="11"/>
        <v>35505.812700000002</v>
      </c>
      <c r="O50" s="18">
        <f t="shared" si="12"/>
        <v>70740.2889</v>
      </c>
    </row>
    <row r="51" spans="2:15">
      <c r="C51" s="17" t="s">
        <v>63</v>
      </c>
      <c r="D51" s="17"/>
      <c r="E51" s="18">
        <f t="shared" si="2"/>
        <v>108814.03</v>
      </c>
      <c r="F51" s="18">
        <f t="shared" si="3"/>
        <v>40874.984799999998</v>
      </c>
      <c r="G51" s="18">
        <f t="shared" si="4"/>
        <v>824901.10560000001</v>
      </c>
      <c r="H51" s="18">
        <f t="shared" si="5"/>
        <v>453100.47119999997</v>
      </c>
      <c r="I51" s="18">
        <f t="shared" si="6"/>
        <v>629589.80759999994</v>
      </c>
      <c r="J51" s="18">
        <f t="shared" si="7"/>
        <v>688228.66319999995</v>
      </c>
      <c r="K51" s="18">
        <f t="shared" si="8"/>
        <v>128413.9688</v>
      </c>
      <c r="L51" s="18">
        <f t="shared" si="9"/>
        <v>85320.024399999995</v>
      </c>
      <c r="M51" s="18">
        <f t="shared" si="10"/>
        <v>532872.57400000002</v>
      </c>
      <c r="N51" s="18">
        <f t="shared" si="11"/>
        <v>37598.631199999996</v>
      </c>
      <c r="O51" s="18">
        <f t="shared" si="12"/>
        <v>68803.425600000002</v>
      </c>
    </row>
    <row r="52" spans="2:15">
      <c r="C52" s="17" t="s">
        <v>64</v>
      </c>
      <c r="D52" s="17"/>
      <c r="E52" s="18">
        <f t="shared" si="2"/>
        <v>125428.932</v>
      </c>
      <c r="F52" s="18">
        <f t="shared" si="3"/>
        <v>54485.761999999995</v>
      </c>
      <c r="G52" s="18">
        <f t="shared" si="4"/>
        <v>980166.27999999991</v>
      </c>
      <c r="H52" s="18">
        <f t="shared" si="5"/>
        <v>534458.47</v>
      </c>
      <c r="I52" s="18">
        <f t="shared" si="6"/>
        <v>836878.28399999999</v>
      </c>
      <c r="J52" s="18">
        <f t="shared" si="7"/>
        <v>840732.35600000003</v>
      </c>
      <c r="K52" s="18">
        <f t="shared" si="8"/>
        <v>153002.70600000001</v>
      </c>
      <c r="L52" s="18">
        <f t="shared" si="9"/>
        <v>122103.614</v>
      </c>
      <c r="M52" s="18">
        <f t="shared" si="10"/>
        <v>709097.19199999992</v>
      </c>
      <c r="N52" s="18">
        <f t="shared" si="11"/>
        <v>54786.53</v>
      </c>
      <c r="O52" s="18">
        <f t="shared" si="12"/>
        <v>89074.563999999998</v>
      </c>
    </row>
    <row r="53" spans="2:15">
      <c r="C53" s="17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>
      <c r="C54" s="17" t="s">
        <v>5</v>
      </c>
      <c r="D54" s="17"/>
      <c r="E54" s="18">
        <f>SUM(E41:E52)</f>
        <v>998610.71399999992</v>
      </c>
      <c r="F54" s="18">
        <f t="shared" ref="F54:O54" si="13">SUM(F41:F52)</f>
        <v>489231.59289999993</v>
      </c>
      <c r="G54" s="18">
        <f t="shared" si="13"/>
        <v>8188715.0750000002</v>
      </c>
      <c r="H54" s="18">
        <f t="shared" si="13"/>
        <v>4137338.2838000003</v>
      </c>
      <c r="I54" s="18">
        <f t="shared" si="13"/>
        <v>5740650.0299999993</v>
      </c>
      <c r="J54" s="18">
        <f t="shared" si="13"/>
        <v>6081643.4260999998</v>
      </c>
      <c r="K54" s="18">
        <f t="shared" si="13"/>
        <v>1448290.4609999999</v>
      </c>
      <c r="L54" s="18">
        <f t="shared" si="13"/>
        <v>875152.35279999999</v>
      </c>
      <c r="M54" s="18">
        <f t="shared" si="13"/>
        <v>5500127.4977999991</v>
      </c>
      <c r="N54" s="18">
        <f t="shared" si="13"/>
        <v>414588.6764</v>
      </c>
      <c r="O54" s="18">
        <f t="shared" si="13"/>
        <v>713152.9669</v>
      </c>
    </row>
    <row r="58" spans="2:15">
      <c r="B58" t="s">
        <v>85</v>
      </c>
    </row>
    <row r="59" spans="2:15" ht="45">
      <c r="E59" s="25" t="s">
        <v>86</v>
      </c>
      <c r="F59" s="25" t="s">
        <v>87</v>
      </c>
      <c r="G59" s="25" t="s">
        <v>88</v>
      </c>
      <c r="H59" s="25" t="s">
        <v>89</v>
      </c>
      <c r="I59" s="25" t="s">
        <v>83</v>
      </c>
      <c r="J59" s="25" t="s">
        <v>90</v>
      </c>
      <c r="K59" s="25" t="s">
        <v>89</v>
      </c>
      <c r="M59" s="25" t="s">
        <v>91</v>
      </c>
    </row>
    <row r="60" spans="2:15">
      <c r="C60" s="5" t="s">
        <v>49</v>
      </c>
      <c r="D60" s="5"/>
      <c r="E60" s="1">
        <v>125</v>
      </c>
      <c r="F60" s="1">
        <v>5580516</v>
      </c>
      <c r="G60" s="26">
        <f>E60/F60*1000000</f>
        <v>22.399362352872028</v>
      </c>
      <c r="H60" s="1">
        <f>G60/G68*100</f>
        <v>274.19410148870116</v>
      </c>
      <c r="I60" s="1">
        <v>489231.59289999993</v>
      </c>
      <c r="J60" s="1">
        <f t="shared" ref="J60:J72" si="14">E60/I60*1000000</f>
        <v>255.50271448955726</v>
      </c>
      <c r="K60" s="1">
        <f>J60/J68*100</f>
        <v>283.15669220068685</v>
      </c>
    </row>
    <row r="61" spans="2:15">
      <c r="C61" s="5" t="s">
        <v>34</v>
      </c>
      <c r="D61" s="5"/>
      <c r="E61" s="1">
        <v>105</v>
      </c>
      <c r="F61" s="1">
        <v>4985870</v>
      </c>
      <c r="G61" s="26">
        <f t="shared" ref="G61:G72" si="15">E61/F61*1000000</f>
        <v>21.059514187092724</v>
      </c>
      <c r="H61" s="1">
        <f>G61/G68*100</f>
        <v>257.79281031980162</v>
      </c>
      <c r="I61" s="1">
        <v>414588.6764</v>
      </c>
      <c r="J61" s="1">
        <f t="shared" si="14"/>
        <v>253.2630676547827</v>
      </c>
      <c r="K61" s="1">
        <f>J61/J68*100</f>
        <v>280.6746403340386</v>
      </c>
      <c r="M61" s="1">
        <v>200000</v>
      </c>
      <c r="N61" s="27">
        <f>M61/F61</f>
        <v>4.0113360356367096E-2</v>
      </c>
      <c r="O61" s="28" t="s">
        <v>92</v>
      </c>
    </row>
    <row r="62" spans="2:15">
      <c r="C62" s="5" t="s">
        <v>93</v>
      </c>
      <c r="D62" s="5"/>
      <c r="E62" s="1">
        <v>1222</v>
      </c>
      <c r="F62" s="1">
        <v>62989551</v>
      </c>
      <c r="G62" s="26">
        <f t="shared" si="15"/>
        <v>19.400043032534079</v>
      </c>
      <c r="H62" s="1">
        <f>G62/G68*100</f>
        <v>237.47896410389436</v>
      </c>
      <c r="I62" s="1">
        <v>5500127.4977999991</v>
      </c>
      <c r="J62" s="1">
        <f t="shared" si="14"/>
        <v>222.17666781157143</v>
      </c>
      <c r="K62" s="1">
        <f>J62/J68*100</f>
        <v>246.2236476327794</v>
      </c>
    </row>
    <row r="63" spans="2:15">
      <c r="C63" s="5" t="s">
        <v>20</v>
      </c>
      <c r="D63" s="5"/>
      <c r="E63" s="1">
        <v>145</v>
      </c>
      <c r="F63" s="1">
        <v>9482855</v>
      </c>
      <c r="G63" s="26">
        <f t="shared" si="15"/>
        <v>15.290753681248949</v>
      </c>
      <c r="H63" s="1">
        <f>G63/G68*100</f>
        <v>187.1765097892409</v>
      </c>
      <c r="I63" s="1">
        <v>875152.35279999999</v>
      </c>
      <c r="J63" s="1">
        <f t="shared" si="14"/>
        <v>165.68543698257884</v>
      </c>
      <c r="K63" s="1">
        <f>J63/J68*100</f>
        <v>183.61816771903554</v>
      </c>
    </row>
    <row r="64" spans="2:15">
      <c r="C64" s="5" t="s">
        <v>51</v>
      </c>
      <c r="D64" s="5"/>
      <c r="E64" s="1">
        <v>231</v>
      </c>
      <c r="F64" s="1">
        <v>16730348</v>
      </c>
      <c r="G64" s="26">
        <f t="shared" si="15"/>
        <v>13.807244176869483</v>
      </c>
      <c r="H64" s="1">
        <f>G64/G68*100</f>
        <v>169.01663768238512</v>
      </c>
      <c r="I64" s="1">
        <v>1448290.4609999999</v>
      </c>
      <c r="J64" s="1">
        <f t="shared" si="14"/>
        <v>159.49839222202817</v>
      </c>
      <c r="K64" s="1">
        <f>J64/J68*100</f>
        <v>176.76147685218874</v>
      </c>
    </row>
    <row r="65" spans="2:12">
      <c r="C65" s="5" t="s">
        <v>94</v>
      </c>
      <c r="D65" s="5"/>
      <c r="E65" s="1">
        <v>90</v>
      </c>
      <c r="F65" s="1">
        <v>7954662</v>
      </c>
      <c r="G65" s="26">
        <f t="shared" si="15"/>
        <v>11.314119946265473</v>
      </c>
      <c r="H65" s="1">
        <f>G65/G68*100</f>
        <v>138.49791364279096</v>
      </c>
      <c r="I65" s="1">
        <v>713152.9669</v>
      </c>
      <c r="J65" s="1">
        <f t="shared" si="14"/>
        <v>126.20013402064414</v>
      </c>
      <c r="K65" s="1">
        <f>J65/J68*100</f>
        <v>139.85922840764761</v>
      </c>
    </row>
    <row r="66" spans="2:12">
      <c r="C66" s="5" t="s">
        <v>22</v>
      </c>
      <c r="D66" s="5"/>
      <c r="E66" s="1">
        <v>887</v>
      </c>
      <c r="F66" s="1">
        <v>81843743</v>
      </c>
      <c r="G66" s="26">
        <f t="shared" si="15"/>
        <v>10.837725249198341</v>
      </c>
      <c r="H66" s="1">
        <f>G66/G68*100</f>
        <v>132.66629156987264</v>
      </c>
      <c r="I66" s="1">
        <v>8188715.0750000002</v>
      </c>
      <c r="J66" s="1">
        <f t="shared" si="14"/>
        <v>108.31980254240314</v>
      </c>
      <c r="K66" s="1">
        <f>J66/J68*100</f>
        <v>120.04364434645569</v>
      </c>
    </row>
    <row r="67" spans="2:12">
      <c r="C67" s="5" t="s">
        <v>95</v>
      </c>
      <c r="D67" s="5"/>
      <c r="E67" s="1">
        <v>70</v>
      </c>
      <c r="F67" s="1">
        <v>7954662</v>
      </c>
      <c r="G67" s="26">
        <f t="shared" si="15"/>
        <v>8.7998710693175894</v>
      </c>
      <c r="H67" s="1">
        <f>G67/G68*100</f>
        <v>107.72059949994852</v>
      </c>
      <c r="I67" s="1">
        <v>713152.9669</v>
      </c>
      <c r="J67" s="1">
        <f t="shared" si="14"/>
        <v>98.155659793834346</v>
      </c>
      <c r="K67" s="1">
        <f>J67/J68*100</f>
        <v>108.77939987261482</v>
      </c>
    </row>
    <row r="68" spans="2:12">
      <c r="C68" s="5" t="s">
        <v>7</v>
      </c>
      <c r="D68" s="5"/>
      <c r="E68" s="1">
        <v>518</v>
      </c>
      <c r="F68" s="1">
        <v>63409191</v>
      </c>
      <c r="G68" s="26">
        <f t="shared" si="15"/>
        <v>8.1691627322606895</v>
      </c>
      <c r="H68" s="1">
        <f>G68/G68*100</f>
        <v>100</v>
      </c>
      <c r="I68" s="1">
        <v>5740650.0299999993</v>
      </c>
      <c r="J68" s="1">
        <f t="shared" si="14"/>
        <v>90.233683867330285</v>
      </c>
      <c r="K68" s="1">
        <f>J68/J68*100</f>
        <v>100</v>
      </c>
    </row>
    <row r="69" spans="2:12">
      <c r="C69" s="5" t="s">
        <v>48</v>
      </c>
      <c r="D69" s="5"/>
      <c r="E69" s="1">
        <v>73.5</v>
      </c>
      <c r="F69" s="1">
        <v>11094850</v>
      </c>
      <c r="G69" s="26">
        <f t="shared" si="15"/>
        <v>6.6246952414859139</v>
      </c>
      <c r="H69" s="1">
        <f>G69/G68*100</f>
        <v>81.093931637870938</v>
      </c>
      <c r="I69" s="1">
        <v>998610.71399999992</v>
      </c>
      <c r="J69" s="1">
        <f t="shared" si="14"/>
        <v>73.602254581859015</v>
      </c>
      <c r="K69" s="1">
        <f>J69/J68*100</f>
        <v>81.568491307609364</v>
      </c>
    </row>
    <row r="70" spans="2:12">
      <c r="C70" s="5" t="s">
        <v>24</v>
      </c>
      <c r="D70" s="5"/>
      <c r="E70" s="1">
        <v>285</v>
      </c>
      <c r="F70" s="1">
        <v>60820696</v>
      </c>
      <c r="G70" s="26">
        <f t="shared" si="15"/>
        <v>4.6859049426201898</v>
      </c>
      <c r="H70" s="1">
        <f>G70/G68*100</f>
        <v>57.360896045260169</v>
      </c>
      <c r="I70" s="1">
        <v>6081643.4260999998</v>
      </c>
      <c r="J70" s="1">
        <f t="shared" si="14"/>
        <v>46.862333095178371</v>
      </c>
      <c r="K70" s="1">
        <f>J70/J68*100</f>
        <v>51.934411947626572</v>
      </c>
      <c r="L70" s="1">
        <v>206</v>
      </c>
    </row>
    <row r="71" spans="2:12">
      <c r="C71" s="5" t="s">
        <v>23</v>
      </c>
      <c r="D71" s="5"/>
      <c r="E71" s="1">
        <v>130</v>
      </c>
      <c r="F71" s="1">
        <v>46196276</v>
      </c>
      <c r="G71" s="26">
        <f t="shared" si="15"/>
        <v>2.8140796457272876</v>
      </c>
      <c r="H71" s="1">
        <f>G71/G68*100</f>
        <v>34.447589526087633</v>
      </c>
      <c r="I71" s="1">
        <v>4137338.2838000003</v>
      </c>
      <c r="J71" s="1">
        <f t="shared" si="14"/>
        <v>31.421167688661793</v>
      </c>
      <c r="K71" s="1">
        <f>J71/J68*100</f>
        <v>34.821993674623805</v>
      </c>
    </row>
    <row r="72" spans="2:12">
      <c r="C72" s="5" t="s">
        <v>96</v>
      </c>
      <c r="D72" s="5"/>
      <c r="E72" s="1">
        <v>113</v>
      </c>
      <c r="F72" s="1">
        <v>62989551</v>
      </c>
      <c r="G72" s="26">
        <f t="shared" si="15"/>
        <v>1.7939483327957044</v>
      </c>
      <c r="H72" s="1">
        <f>G72/G68*100</f>
        <v>21.960002408952587</v>
      </c>
      <c r="I72" s="1">
        <v>5500127.4977999991</v>
      </c>
      <c r="J72" s="1">
        <f t="shared" si="14"/>
        <v>20.544978283721417</v>
      </c>
      <c r="K72" s="1">
        <f>J72/J68*100</f>
        <v>22.768635173898584</v>
      </c>
    </row>
    <row r="73" spans="2:12">
      <c r="C73" s="5" t="s">
        <v>97</v>
      </c>
      <c r="D73" s="5"/>
      <c r="E73" s="1"/>
      <c r="F73" s="1"/>
      <c r="G73" s="26"/>
      <c r="H73" s="1"/>
      <c r="I73" s="1"/>
      <c r="J73" s="1"/>
      <c r="K73" s="1"/>
    </row>
    <row r="74" spans="2:12">
      <c r="C74" t="s">
        <v>98</v>
      </c>
    </row>
    <row r="75" spans="2:12">
      <c r="C75" t="s">
        <v>99</v>
      </c>
    </row>
    <row r="76" spans="2:12">
      <c r="C76" s="29" t="s">
        <v>100</v>
      </c>
    </row>
    <row r="77" spans="2:12">
      <c r="C77" t="s">
        <v>101</v>
      </c>
    </row>
    <row r="80" spans="2:12">
      <c r="B80" t="s">
        <v>102</v>
      </c>
    </row>
    <row r="81" spans="2:6">
      <c r="B81" s="25" t="s">
        <v>89</v>
      </c>
    </row>
    <row r="82" spans="2:6" ht="60">
      <c r="D82" s="25" t="s">
        <v>104</v>
      </c>
      <c r="E82" s="25" t="s">
        <v>105</v>
      </c>
      <c r="F82" s="25" t="s">
        <v>103</v>
      </c>
    </row>
    <row r="83" spans="2:6">
      <c r="C83" s="5" t="s">
        <v>49</v>
      </c>
      <c r="D83" s="1">
        <f t="shared" ref="D83:D89" si="16">H60</f>
        <v>274.19410148870116</v>
      </c>
      <c r="E83" s="1">
        <f t="shared" ref="E83:E89" si="17">K60</f>
        <v>283.15669220068685</v>
      </c>
      <c r="F83" s="30">
        <f>E60</f>
        <v>125</v>
      </c>
    </row>
    <row r="84" spans="2:6">
      <c r="C84" s="5" t="s">
        <v>34</v>
      </c>
      <c r="D84" s="1">
        <f t="shared" si="16"/>
        <v>257.79281031980162</v>
      </c>
      <c r="E84" s="1">
        <f t="shared" si="17"/>
        <v>280.6746403340386</v>
      </c>
      <c r="F84" s="30">
        <f t="shared" ref="F84:F89" si="18">E61</f>
        <v>105</v>
      </c>
    </row>
    <row r="85" spans="2:6">
      <c r="C85" s="5" t="s">
        <v>21</v>
      </c>
      <c r="D85" s="1">
        <f t="shared" si="16"/>
        <v>237.47896410389436</v>
      </c>
      <c r="E85" s="1">
        <f t="shared" si="17"/>
        <v>246.2236476327794</v>
      </c>
      <c r="F85" s="30">
        <f t="shared" si="18"/>
        <v>1222</v>
      </c>
    </row>
    <row r="86" spans="2:6">
      <c r="C86" s="5" t="s">
        <v>20</v>
      </c>
      <c r="D86" s="1">
        <f t="shared" si="16"/>
        <v>187.1765097892409</v>
      </c>
      <c r="E86" s="1">
        <f t="shared" si="17"/>
        <v>183.61816771903554</v>
      </c>
      <c r="F86" s="30">
        <f t="shared" si="18"/>
        <v>145</v>
      </c>
    </row>
    <row r="87" spans="2:6">
      <c r="C87" s="5" t="s">
        <v>51</v>
      </c>
      <c r="D87" s="1">
        <f t="shared" si="16"/>
        <v>169.01663768238512</v>
      </c>
      <c r="E87" s="1">
        <f t="shared" si="17"/>
        <v>176.76147685218874</v>
      </c>
      <c r="F87" s="30">
        <f t="shared" si="18"/>
        <v>231</v>
      </c>
    </row>
    <row r="88" spans="2:6">
      <c r="C88" s="5" t="s">
        <v>52</v>
      </c>
      <c r="D88" s="1">
        <f t="shared" si="16"/>
        <v>138.49791364279096</v>
      </c>
      <c r="E88" s="1">
        <f t="shared" si="17"/>
        <v>139.85922840764761</v>
      </c>
      <c r="F88" s="30">
        <f t="shared" si="18"/>
        <v>90</v>
      </c>
    </row>
    <row r="89" spans="2:6">
      <c r="C89" s="5" t="s">
        <v>22</v>
      </c>
      <c r="D89" s="1">
        <f t="shared" si="16"/>
        <v>132.66629156987264</v>
      </c>
      <c r="E89" s="1">
        <f t="shared" si="17"/>
        <v>120.04364434645569</v>
      </c>
      <c r="F89" s="30">
        <f t="shared" si="18"/>
        <v>887</v>
      </c>
    </row>
    <row r="90" spans="2:6">
      <c r="C90" s="5" t="s">
        <v>7</v>
      </c>
      <c r="D90" s="1">
        <f>H68</f>
        <v>100</v>
      </c>
      <c r="E90" s="1">
        <f>K68</f>
        <v>100</v>
      </c>
      <c r="F90" s="30">
        <f>E68</f>
        <v>518</v>
      </c>
    </row>
    <row r="91" spans="2:6">
      <c r="C91" s="5" t="s">
        <v>48</v>
      </c>
      <c r="D91" s="1">
        <f>H69</f>
        <v>81.093931637870938</v>
      </c>
      <c r="E91" s="1">
        <f>K69</f>
        <v>81.568491307609364</v>
      </c>
      <c r="F91" s="30">
        <f>E69</f>
        <v>73.5</v>
      </c>
    </row>
    <row r="92" spans="2:6">
      <c r="C92" s="5" t="s">
        <v>24</v>
      </c>
      <c r="D92" s="1">
        <f>H70</f>
        <v>57.360896045260169</v>
      </c>
      <c r="E92" s="1">
        <f>K70</f>
        <v>51.934411947626572</v>
      </c>
      <c r="F92" s="30">
        <f>E70</f>
        <v>285</v>
      </c>
    </row>
    <row r="93" spans="2:6">
      <c r="C93" s="5" t="s">
        <v>23</v>
      </c>
      <c r="D93" s="1">
        <f>H71</f>
        <v>34.447589526087633</v>
      </c>
      <c r="E93" s="1">
        <f>K71</f>
        <v>34.821993674623805</v>
      </c>
      <c r="F93" s="30">
        <f>E71</f>
        <v>130</v>
      </c>
    </row>
    <row r="95" spans="2:6">
      <c r="C95" s="5" t="s">
        <v>95</v>
      </c>
      <c r="D95" s="1">
        <f>H67</f>
        <v>107.72059949994852</v>
      </c>
      <c r="E95" s="1">
        <f>K67</f>
        <v>108.77939987261482</v>
      </c>
      <c r="F95" s="30">
        <f>E67</f>
        <v>70</v>
      </c>
    </row>
  </sheetData>
  <hyperlinks>
    <hyperlink ref="O6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>
      <selection activeCell="D30" sqref="D30"/>
    </sheetView>
  </sheetViews>
  <sheetFormatPr baseColWidth="10" defaultRowHeight="15" x14ac:dyDescent="0"/>
  <cols>
    <col min="2" max="2" width="43.5" customWidth="1"/>
    <col min="3" max="3" width="5.83203125" bestFit="1" customWidth="1"/>
    <col min="4" max="4" width="7.1640625" bestFit="1" customWidth="1"/>
    <col min="5" max="5" width="10.33203125" bestFit="1" customWidth="1"/>
    <col min="6" max="6" width="10" bestFit="1" customWidth="1"/>
    <col min="7" max="7" width="8.5" bestFit="1" customWidth="1"/>
    <col min="8" max="8" width="6.6640625" bestFit="1" customWidth="1"/>
    <col min="9" max="9" width="6.5" bestFit="1" customWidth="1"/>
  </cols>
  <sheetData>
    <row r="2" spans="2:9">
      <c r="B2" t="s">
        <v>106</v>
      </c>
    </row>
    <row r="3" spans="2:9" ht="30">
      <c r="C3" s="4" t="s">
        <v>38</v>
      </c>
      <c r="D3" s="4" t="s">
        <v>37</v>
      </c>
      <c r="E3" s="4" t="s">
        <v>36</v>
      </c>
      <c r="F3" s="4" t="s">
        <v>107</v>
      </c>
      <c r="G3" s="4" t="s">
        <v>108</v>
      </c>
      <c r="H3" s="4" t="s">
        <v>35</v>
      </c>
      <c r="I3" s="4" t="s">
        <v>39</v>
      </c>
    </row>
    <row r="4" spans="2:9">
      <c r="B4" t="s">
        <v>109</v>
      </c>
      <c r="C4">
        <v>63</v>
      </c>
      <c r="D4">
        <v>78</v>
      </c>
      <c r="E4">
        <v>58</v>
      </c>
    </row>
    <row r="5" spans="2:9">
      <c r="B5" t="s">
        <v>110</v>
      </c>
      <c r="D5">
        <v>73</v>
      </c>
      <c r="E5">
        <v>55</v>
      </c>
      <c r="G5">
        <v>42</v>
      </c>
      <c r="H5">
        <v>53</v>
      </c>
    </row>
    <row r="6" spans="2:9">
      <c r="B6" t="s">
        <v>111</v>
      </c>
      <c r="C6">
        <v>65</v>
      </c>
      <c r="D6">
        <v>69</v>
      </c>
      <c r="E6">
        <v>54</v>
      </c>
      <c r="F6">
        <v>62</v>
      </c>
      <c r="G6">
        <v>44</v>
      </c>
    </row>
    <row r="7" spans="2:9">
      <c r="B7" t="s">
        <v>112</v>
      </c>
      <c r="C7">
        <v>63</v>
      </c>
      <c r="D7">
        <v>63</v>
      </c>
      <c r="E7">
        <v>58</v>
      </c>
      <c r="F7">
        <v>72</v>
      </c>
      <c r="G7">
        <v>61</v>
      </c>
      <c r="H7">
        <v>62</v>
      </c>
      <c r="I7">
        <v>63</v>
      </c>
    </row>
    <row r="8" spans="2:9">
      <c r="B8" t="s">
        <v>113</v>
      </c>
      <c r="D8">
        <v>61</v>
      </c>
      <c r="H8">
        <v>46</v>
      </c>
    </row>
    <row r="9" spans="2:9">
      <c r="B9" t="s">
        <v>114</v>
      </c>
      <c r="C9">
        <v>62</v>
      </c>
      <c r="D9">
        <v>61</v>
      </c>
      <c r="E9">
        <v>68</v>
      </c>
      <c r="F9">
        <v>59</v>
      </c>
      <c r="G9">
        <v>55</v>
      </c>
      <c r="H9">
        <v>51</v>
      </c>
      <c r="I9">
        <v>59</v>
      </c>
    </row>
    <row r="10" spans="2:9">
      <c r="B10" t="s">
        <v>115</v>
      </c>
      <c r="C10">
        <v>58</v>
      </c>
      <c r="D10">
        <v>61</v>
      </c>
      <c r="E10">
        <v>64</v>
      </c>
      <c r="F10">
        <v>57</v>
      </c>
      <c r="G10">
        <v>69</v>
      </c>
      <c r="H10">
        <v>56</v>
      </c>
      <c r="I10">
        <v>49</v>
      </c>
    </row>
    <row r="11" spans="2:9">
      <c r="B11" t="s">
        <v>116</v>
      </c>
      <c r="C11">
        <v>68</v>
      </c>
      <c r="D11">
        <v>59</v>
      </c>
      <c r="E11">
        <v>62</v>
      </c>
      <c r="F11">
        <v>74</v>
      </c>
      <c r="G11">
        <v>59</v>
      </c>
      <c r="H11">
        <v>52</v>
      </c>
      <c r="I11">
        <v>73</v>
      </c>
    </row>
    <row r="12" spans="2:9">
      <c r="B12" t="s">
        <v>117</v>
      </c>
      <c r="D12">
        <v>57</v>
      </c>
      <c r="H12">
        <v>40</v>
      </c>
    </row>
    <row r="13" spans="2:9">
      <c r="B13" t="s">
        <v>118</v>
      </c>
      <c r="C13">
        <v>73</v>
      </c>
      <c r="D13">
        <v>55</v>
      </c>
      <c r="E13">
        <v>68</v>
      </c>
      <c r="F13">
        <v>54</v>
      </c>
      <c r="G13">
        <v>68</v>
      </c>
      <c r="H13">
        <v>64</v>
      </c>
      <c r="I13">
        <v>49</v>
      </c>
    </row>
    <row r="14" spans="2:9">
      <c r="B14" t="s">
        <v>119</v>
      </c>
      <c r="G14">
        <v>38</v>
      </c>
      <c r="I14">
        <v>40</v>
      </c>
    </row>
    <row r="15" spans="2:9">
      <c r="B15" t="s">
        <v>120</v>
      </c>
      <c r="C15">
        <v>65</v>
      </c>
      <c r="E15">
        <v>55</v>
      </c>
      <c r="F15">
        <v>52</v>
      </c>
      <c r="G15">
        <v>39</v>
      </c>
      <c r="I15">
        <v>41</v>
      </c>
    </row>
    <row r="16" spans="2:9">
      <c r="B16" t="s">
        <v>121</v>
      </c>
      <c r="G16">
        <v>41</v>
      </c>
      <c r="H16">
        <v>39</v>
      </c>
      <c r="I16">
        <v>38</v>
      </c>
    </row>
    <row r="17" spans="2:9">
      <c r="B17" t="s">
        <v>122</v>
      </c>
      <c r="C17">
        <v>65</v>
      </c>
      <c r="F17">
        <v>47</v>
      </c>
      <c r="I17">
        <v>37</v>
      </c>
    </row>
    <row r="18" spans="2:9">
      <c r="B18" t="s">
        <v>123</v>
      </c>
      <c r="C18">
        <v>59</v>
      </c>
      <c r="F18">
        <v>46</v>
      </c>
    </row>
    <row r="19" spans="2:9">
      <c r="B19" t="s">
        <v>124</v>
      </c>
      <c r="E19">
        <v>51</v>
      </c>
      <c r="H19">
        <v>40</v>
      </c>
    </row>
    <row r="20" spans="2:9">
      <c r="B20" t="s">
        <v>125</v>
      </c>
      <c r="F20">
        <v>50</v>
      </c>
    </row>
    <row r="21" spans="2:9">
      <c r="B21" t="s">
        <v>126</v>
      </c>
      <c r="I21">
        <v>40</v>
      </c>
    </row>
    <row r="23" spans="2:9">
      <c r="B23" t="s">
        <v>127</v>
      </c>
    </row>
    <row r="24" spans="2:9">
      <c r="B24" t="s">
        <v>128</v>
      </c>
    </row>
    <row r="25" spans="2:9">
      <c r="B25" t="s">
        <v>129</v>
      </c>
    </row>
  </sheetData>
  <conditionalFormatting sqref="C4:I21">
    <cfRule type="colorScale" priority="1">
      <colorScale>
        <cfvo type="num" val="40"/>
        <cfvo type="percentile" val="50"/>
        <cfvo type="num" val="80"/>
        <color theme="2" tint="-9.9978637043366805E-2"/>
        <color theme="2" tint="-0.499984740745262"/>
        <color theme="2" tint="-0.749992370372631"/>
      </colorScale>
    </cfRule>
    <cfRule type="cellIs" dxfId="0" priority="2" operator="between">
      <formula>70</formula>
      <formula>80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B2" sqref="B2"/>
    </sheetView>
  </sheetViews>
  <sheetFormatPr baseColWidth="10" defaultRowHeight="15" x14ac:dyDescent="0"/>
  <cols>
    <col min="2" max="2" width="45.33203125" customWidth="1"/>
    <col min="3" max="3" width="9.33203125" bestFit="1" customWidth="1"/>
    <col min="4" max="4" width="10.1640625" bestFit="1" customWidth="1"/>
    <col min="5" max="5" width="7.6640625" bestFit="1" customWidth="1"/>
  </cols>
  <sheetData>
    <row r="2" spans="2:5">
      <c r="B2" s="15" t="s">
        <v>137</v>
      </c>
    </row>
    <row r="3" spans="2:5" ht="45">
      <c r="B3" s="5"/>
      <c r="C3" s="4" t="s">
        <v>130</v>
      </c>
      <c r="D3" s="4" t="s">
        <v>131</v>
      </c>
      <c r="E3" s="4" t="s">
        <v>132</v>
      </c>
    </row>
    <row r="4" spans="2:5">
      <c r="B4" s="31" t="s">
        <v>118</v>
      </c>
      <c r="C4" s="32">
        <v>0.2516755670522054</v>
      </c>
      <c r="D4" s="32">
        <v>0.30152515372356398</v>
      </c>
      <c r="E4" s="32">
        <v>0.44679927922423301</v>
      </c>
    </row>
    <row r="5" spans="2:5">
      <c r="B5" s="31" t="s">
        <v>114</v>
      </c>
      <c r="C5" s="32">
        <v>0.33146010043853602</v>
      </c>
      <c r="D5" s="32">
        <v>0.27451705903441398</v>
      </c>
      <c r="E5" s="32">
        <v>0.394022840527052</v>
      </c>
    </row>
    <row r="6" spans="2:5">
      <c r="B6" s="31" t="s">
        <v>116</v>
      </c>
      <c r="C6" s="32">
        <v>0.33212978546579497</v>
      </c>
      <c r="D6" s="32">
        <v>0.25642922875220497</v>
      </c>
      <c r="E6" s="32">
        <v>0.411440985782003</v>
      </c>
    </row>
    <row r="7" spans="2:5">
      <c r="B7" s="31" t="s">
        <v>117</v>
      </c>
      <c r="C7" s="32">
        <v>0.34372335838062396</v>
      </c>
      <c r="D7" s="32">
        <v>0.22866698710377201</v>
      </c>
      <c r="E7" s="32">
        <v>0.42760965451560695</v>
      </c>
    </row>
    <row r="8" spans="2:5" ht="30">
      <c r="B8" s="31" t="s">
        <v>133</v>
      </c>
      <c r="C8" s="32">
        <v>0.36563640501181999</v>
      </c>
      <c r="D8" s="32">
        <v>0.243361048075979</v>
      </c>
      <c r="E8" s="32">
        <v>0.3910025469122031</v>
      </c>
    </row>
    <row r="9" spans="2:5" ht="30">
      <c r="B9" s="31" t="s">
        <v>112</v>
      </c>
      <c r="C9" s="32">
        <v>0.37016681072108704</v>
      </c>
      <c r="D9" s="32">
        <v>0.26132218544227598</v>
      </c>
      <c r="E9" s="32">
        <v>0.36851100383664004</v>
      </c>
    </row>
    <row r="10" spans="2:5">
      <c r="B10" s="31" t="s">
        <v>134</v>
      </c>
      <c r="C10" s="32">
        <v>0.37459167675649302</v>
      </c>
      <c r="D10" s="32">
        <v>0.23305602815266199</v>
      </c>
      <c r="E10" s="32">
        <v>0.39235229509084801</v>
      </c>
    </row>
    <row r="11" spans="2:5">
      <c r="B11" s="31" t="s">
        <v>111</v>
      </c>
      <c r="C11" s="32">
        <v>0.41452985085512206</v>
      </c>
      <c r="D11" s="32">
        <v>0.27686712450513901</v>
      </c>
      <c r="E11" s="32">
        <v>0.30860302463974099</v>
      </c>
    </row>
    <row r="12" spans="2:5">
      <c r="B12" s="31" t="s">
        <v>110</v>
      </c>
      <c r="C12" s="32">
        <v>0.48618334860706597</v>
      </c>
      <c r="D12" s="32">
        <v>0.23967081184684499</v>
      </c>
      <c r="E12" s="32">
        <v>0.27414583954609095</v>
      </c>
    </row>
    <row r="13" spans="2:5">
      <c r="B13" s="31" t="s">
        <v>109</v>
      </c>
      <c r="C13" s="32">
        <v>0.55439340632221601</v>
      </c>
      <c r="D13" s="32">
        <v>0.227389686362205</v>
      </c>
      <c r="E13" s="32">
        <v>0.21821690731558049</v>
      </c>
    </row>
    <row r="15" spans="2:5">
      <c r="B15" t="s">
        <v>135</v>
      </c>
    </row>
    <row r="16" spans="2:5">
      <c r="B16" t="s">
        <v>136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"/>
  <sheetViews>
    <sheetView tabSelected="1" workbookViewId="0">
      <selection activeCell="B12" sqref="B12"/>
    </sheetView>
  </sheetViews>
  <sheetFormatPr baseColWidth="10" defaultRowHeight="15" x14ac:dyDescent="0"/>
  <sheetData>
    <row r="2" spans="2:17">
      <c r="B2" t="s">
        <v>149</v>
      </c>
    </row>
    <row r="3" spans="2:17">
      <c r="B3" s="33" t="s">
        <v>138</v>
      </c>
      <c r="C3" s="33">
        <v>2000</v>
      </c>
      <c r="D3" s="33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 t="s">
        <v>139</v>
      </c>
      <c r="Q3" t="s">
        <v>140</v>
      </c>
    </row>
    <row r="4" spans="2:17">
      <c r="B4" s="34" t="s">
        <v>141</v>
      </c>
      <c r="C4" s="34">
        <v>268248</v>
      </c>
      <c r="D4" s="34">
        <v>275297</v>
      </c>
      <c r="E4" s="34">
        <v>290090</v>
      </c>
      <c r="F4" s="34">
        <v>321998</v>
      </c>
      <c r="G4" s="34">
        <v>351773</v>
      </c>
      <c r="H4" s="34">
        <v>364647</v>
      </c>
      <c r="I4" s="34">
        <v>381934</v>
      </c>
      <c r="J4" s="34">
        <v>407796</v>
      </c>
      <c r="K4" s="34">
        <v>435884</v>
      </c>
      <c r="L4" s="34">
        <v>463118</v>
      </c>
      <c r="M4" s="34">
        <v>482155</v>
      </c>
      <c r="N4" s="34">
        <v>518045</v>
      </c>
      <c r="O4" s="34">
        <v>519994</v>
      </c>
      <c r="P4" s="35">
        <f>((O4/C4)^(1/(O3-C3)))-1</f>
        <v>5.6708384394560163E-2</v>
      </c>
      <c r="Q4" t="s">
        <v>142</v>
      </c>
    </row>
    <row r="5" spans="2:17">
      <c r="B5" s="3" t="s">
        <v>143</v>
      </c>
      <c r="C5" s="35"/>
      <c r="D5" s="35">
        <f t="shared" ref="D5:O5" si="0">D4/C4-1</f>
        <v>2.6277921922996716E-2</v>
      </c>
      <c r="E5" s="35">
        <f t="shared" si="0"/>
        <v>5.3734693803419553E-2</v>
      </c>
      <c r="F5" s="35">
        <f t="shared" si="0"/>
        <v>0.10999345030852492</v>
      </c>
      <c r="G5" s="35">
        <f t="shared" si="0"/>
        <v>9.2469518444213916E-2</v>
      </c>
      <c r="H5" s="35">
        <f t="shared" si="0"/>
        <v>3.6597464842384131E-2</v>
      </c>
      <c r="I5" s="35">
        <f t="shared" si="0"/>
        <v>4.740749272584166E-2</v>
      </c>
      <c r="J5" s="35">
        <f t="shared" si="0"/>
        <v>6.7713269831960465E-2</v>
      </c>
      <c r="K5" s="35">
        <f t="shared" si="0"/>
        <v>6.8877576042923438E-2</v>
      </c>
      <c r="L5" s="35">
        <f t="shared" si="0"/>
        <v>6.2479925851832041E-2</v>
      </c>
      <c r="M5" s="35">
        <f t="shared" si="0"/>
        <v>4.1106154371024273E-2</v>
      </c>
      <c r="N5" s="35">
        <f t="shared" si="0"/>
        <v>7.4436643817859416E-2</v>
      </c>
      <c r="O5" s="35">
        <f t="shared" si="0"/>
        <v>3.7622214286403555E-3</v>
      </c>
      <c r="P5" s="35">
        <f>LOGEST(C4:O4)-1</f>
        <v>6.1111681144521368E-2</v>
      </c>
    </row>
    <row r="6" spans="2:17">
      <c r="B6" s="34" t="s">
        <v>144</v>
      </c>
      <c r="C6" s="34">
        <f>1422+14</f>
        <v>1436</v>
      </c>
      <c r="D6" s="34">
        <f>1526+14</f>
        <v>1540</v>
      </c>
      <c r="E6" s="34">
        <f>1620+16</f>
        <v>1636</v>
      </c>
      <c r="F6" s="34">
        <f>1714+16</f>
        <v>1730</v>
      </c>
      <c r="G6" s="34">
        <f>1806+17</f>
        <v>1823</v>
      </c>
      <c r="H6" s="34">
        <f>1905+18</f>
        <v>1923</v>
      </c>
      <c r="I6" s="34">
        <f>2029+20</f>
        <v>2049</v>
      </c>
      <c r="J6" s="34">
        <f>2116+22</f>
        <v>2138</v>
      </c>
      <c r="K6" s="34">
        <f>2229+23</f>
        <v>2252</v>
      </c>
      <c r="L6" s="34">
        <f>2352+24</f>
        <v>2376</v>
      </c>
      <c r="M6" s="34">
        <f>2437+25</f>
        <v>2462</v>
      </c>
      <c r="N6" s="34">
        <f>2599+26</f>
        <v>2625</v>
      </c>
      <c r="O6" s="34">
        <f>2740+28</f>
        <v>2768</v>
      </c>
      <c r="P6" s="35">
        <f>((O6/C6)^(1/(O3-C3)))-1</f>
        <v>5.621169146298044E-2</v>
      </c>
      <c r="Q6" s="28" t="s">
        <v>145</v>
      </c>
    </row>
    <row r="7" spans="2:17">
      <c r="B7" s="3" t="s">
        <v>143</v>
      </c>
      <c r="C7" s="35"/>
      <c r="D7" s="35">
        <f t="shared" ref="D7:O7" si="1">D6/C6-1</f>
        <v>7.2423398328690824E-2</v>
      </c>
      <c r="E7" s="35">
        <f t="shared" si="1"/>
        <v>6.2337662337662358E-2</v>
      </c>
      <c r="F7" s="35">
        <f t="shared" si="1"/>
        <v>5.7457212713936334E-2</v>
      </c>
      <c r="G7" s="35">
        <f t="shared" si="1"/>
        <v>5.3757225433525901E-2</v>
      </c>
      <c r="H7" s="35">
        <f t="shared" si="1"/>
        <v>5.4854635216675884E-2</v>
      </c>
      <c r="I7" s="35">
        <f t="shared" si="1"/>
        <v>6.5522620904836293E-2</v>
      </c>
      <c r="J7" s="35">
        <f t="shared" si="1"/>
        <v>4.3435822352366982E-2</v>
      </c>
      <c r="K7" s="35">
        <f t="shared" si="1"/>
        <v>5.3320860617399379E-2</v>
      </c>
      <c r="L7" s="35">
        <f t="shared" si="1"/>
        <v>5.5062166962699832E-2</v>
      </c>
      <c r="M7" s="35">
        <f t="shared" si="1"/>
        <v>3.6195286195286114E-2</v>
      </c>
      <c r="N7" s="35">
        <f t="shared" si="1"/>
        <v>6.6206336311941616E-2</v>
      </c>
      <c r="O7" s="35">
        <f t="shared" si="1"/>
        <v>5.4476190476190567E-2</v>
      </c>
      <c r="P7" s="35">
        <f>LOGEST(C6:O6)-1</f>
        <v>5.4855551014524773E-2</v>
      </c>
    </row>
    <row r="8" spans="2:17">
      <c r="B8" s="33" t="s">
        <v>146</v>
      </c>
      <c r="C8" s="36">
        <f t="shared" ref="C8:O8" si="2">C4/C6</f>
        <v>186.80222841225626</v>
      </c>
      <c r="D8" s="36">
        <f t="shared" si="2"/>
        <v>178.76428571428571</v>
      </c>
      <c r="E8" s="36">
        <f t="shared" si="2"/>
        <v>177.31662591687041</v>
      </c>
      <c r="F8" s="36">
        <f t="shared" si="2"/>
        <v>186.12601156069366</v>
      </c>
      <c r="G8" s="36">
        <f t="shared" si="2"/>
        <v>192.963795940757</v>
      </c>
      <c r="H8" s="36">
        <f t="shared" si="2"/>
        <v>189.62402496099844</v>
      </c>
      <c r="I8" s="36">
        <f t="shared" si="2"/>
        <v>186.40019521717912</v>
      </c>
      <c r="J8" s="36">
        <f t="shared" si="2"/>
        <v>190.73713751169316</v>
      </c>
      <c r="K8" s="36">
        <f t="shared" si="2"/>
        <v>193.55417406749555</v>
      </c>
      <c r="L8" s="36">
        <f t="shared" si="2"/>
        <v>194.91498316498317</v>
      </c>
      <c r="M8" s="36">
        <f t="shared" si="2"/>
        <v>195.8387489845654</v>
      </c>
      <c r="N8" s="36">
        <f t="shared" si="2"/>
        <v>197.3504761904762</v>
      </c>
      <c r="O8" s="36">
        <f t="shared" si="2"/>
        <v>187.85910404624278</v>
      </c>
      <c r="P8" s="37">
        <f>AVERAGE(C8:O8)</f>
        <v>189.09629166834591</v>
      </c>
    </row>
    <row r="9" spans="2:17">
      <c r="B9" s="3" t="s">
        <v>143</v>
      </c>
      <c r="C9" s="3"/>
      <c r="D9" s="35">
        <f>D8/C8-1</f>
        <v>-4.3029158518556376E-2</v>
      </c>
      <c r="E9" s="35">
        <f t="shared" ref="E9:M9" si="3">E8/D8-1</f>
        <v>-8.0981488647516864E-3</v>
      </c>
      <c r="F9" s="35">
        <f t="shared" si="3"/>
        <v>4.9681667459391399E-2</v>
      </c>
      <c r="G9" s="35">
        <f t="shared" si="3"/>
        <v>3.6737392708990679E-2</v>
      </c>
      <c r="H9" s="35">
        <f t="shared" si="3"/>
        <v>-1.7307759538395029E-2</v>
      </c>
      <c r="I9" s="35">
        <f t="shared" si="3"/>
        <v>-1.7001167148953833E-2</v>
      </c>
      <c r="J9" s="35">
        <f t="shared" si="3"/>
        <v>2.3266833435775069E-2</v>
      </c>
      <c r="K9" s="35">
        <f t="shared" si="3"/>
        <v>1.4769208516771881E-2</v>
      </c>
      <c r="L9" s="35">
        <f t="shared" si="3"/>
        <v>7.0306367922248203E-3</v>
      </c>
      <c r="M9" s="35">
        <f t="shared" si="3"/>
        <v>4.7393268828406221E-3</v>
      </c>
      <c r="N9" s="35">
        <f>N8/M8-1</f>
        <v>7.7192446017408933E-3</v>
      </c>
      <c r="O9" s="35">
        <f>O8/N8-1</f>
        <v>-4.8093991600368202E-2</v>
      </c>
      <c r="P9" s="35">
        <f>LOGEST(C8:O8)-1</f>
        <v>5.9307932010024267E-3</v>
      </c>
    </row>
    <row r="10" spans="2:17">
      <c r="B10" s="3" t="s">
        <v>147</v>
      </c>
      <c r="C10" s="38">
        <f>C4/C4*100</f>
        <v>100</v>
      </c>
      <c r="D10" s="38">
        <f>D4/C4*100</f>
        <v>102.62779219229967</v>
      </c>
      <c r="E10" s="38">
        <f>E4/C4*100</f>
        <v>108.14246518147385</v>
      </c>
      <c r="F10" s="38">
        <f>F4/C4*100</f>
        <v>120.03742805165369</v>
      </c>
      <c r="G10" s="38">
        <f>G4/C4*100</f>
        <v>131.13723121887207</v>
      </c>
      <c r="H10" s="38">
        <f>H4/C4*100</f>
        <v>135.93652142793235</v>
      </c>
      <c r="I10" s="38">
        <f>I4/C4*100</f>
        <v>142.3809310787033</v>
      </c>
      <c r="J10" s="38">
        <f>J4/C4*100</f>
        <v>152.02200948376131</v>
      </c>
      <c r="K10" s="38">
        <f>K4/C4*100</f>
        <v>162.49291700217711</v>
      </c>
      <c r="L10" s="38">
        <f>L4/C4*100</f>
        <v>172.64546240792103</v>
      </c>
      <c r="M10" s="38">
        <f>M4/C4*100</f>
        <v>179.74225343711788</v>
      </c>
      <c r="N10" s="38">
        <f>N4/C4*100</f>
        <v>193.12166353523605</v>
      </c>
      <c r="O10" s="38">
        <f>O4/D4*100</f>
        <v>188.88473176242385</v>
      </c>
    </row>
    <row r="11" spans="2:17">
      <c r="B11" s="3" t="s">
        <v>148</v>
      </c>
      <c r="C11" s="38">
        <f>C6/C6*100</f>
        <v>100</v>
      </c>
      <c r="D11" s="38">
        <f>D6/C6*100</f>
        <v>107.24233983286908</v>
      </c>
      <c r="E11" s="38">
        <f>E6/C6*100</f>
        <v>113.9275766016713</v>
      </c>
      <c r="F11" s="38">
        <f>F6/C6*100</f>
        <v>120.47353760445682</v>
      </c>
      <c r="G11" s="38">
        <f>G6/C6*100</f>
        <v>126.94986072423397</v>
      </c>
      <c r="H11" s="38">
        <f>H6/C6*100</f>
        <v>133.91364902506965</v>
      </c>
      <c r="I11" s="38">
        <f>I6/C6*100</f>
        <v>142.68802228412255</v>
      </c>
      <c r="J11" s="38">
        <f>J6/C6*100</f>
        <v>148.8857938718663</v>
      </c>
      <c r="K11" s="38">
        <f>K6/C6*100</f>
        <v>156.82451253481895</v>
      </c>
      <c r="L11" s="38">
        <f>L6/C6*100</f>
        <v>165.45961002785518</v>
      </c>
      <c r="M11" s="38">
        <f>M6/C6*100</f>
        <v>171.44846796657382</v>
      </c>
      <c r="N11" s="38">
        <f>N6/C6*100</f>
        <v>182.79944289693591</v>
      </c>
      <c r="O11" s="38">
        <f>O6/D6*100</f>
        <v>179.74025974025975</v>
      </c>
    </row>
    <row r="12" spans="2:17">
      <c r="B12" s="3" t="s">
        <v>160</v>
      </c>
    </row>
  </sheetData>
  <hyperlinks>
    <hyperlink ref="Q6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B13" sqref="B13"/>
    </sheetView>
  </sheetViews>
  <sheetFormatPr baseColWidth="10" defaultRowHeight="15" x14ac:dyDescent="0"/>
  <cols>
    <col min="2" max="2" width="18.33203125" customWidth="1"/>
    <col min="3" max="9" width="7.5" customWidth="1"/>
  </cols>
  <sheetData>
    <row r="2" spans="2:9">
      <c r="B2" s="15" t="s">
        <v>150</v>
      </c>
    </row>
    <row r="3" spans="2:9">
      <c r="B3" s="5"/>
      <c r="C3" t="str">
        <f t="shared" ref="C3:I3" si="0">C5&amp;" (n = "&amp;C4&amp;")"</f>
        <v xml:space="preserve"> Japon (n = 450)</v>
      </c>
      <c r="D3" t="str">
        <f t="shared" si="0"/>
        <v xml:space="preserve"> Italie (n = 510)</v>
      </c>
      <c r="E3" t="str">
        <f t="shared" si="0"/>
        <v xml:space="preserve"> Norvège (n = 691)</v>
      </c>
      <c r="F3" t="str">
        <f t="shared" si="0"/>
        <v xml:space="preserve"> Royaume-Uni (n = 501)</v>
      </c>
      <c r="G3" t="str">
        <f t="shared" si="0"/>
        <v xml:space="preserve"> Allemagne (n = 500)</v>
      </c>
      <c r="H3" t="str">
        <f t="shared" si="0"/>
        <v xml:space="preserve"> France (n = 502)</v>
      </c>
      <c r="I3" t="str">
        <f t="shared" si="0"/>
        <v xml:space="preserve"> Suisse (n = 514)</v>
      </c>
    </row>
    <row r="4" spans="2:9">
      <c r="B4" s="5" t="s">
        <v>151</v>
      </c>
      <c r="C4">
        <v>450</v>
      </c>
      <c r="D4">
        <v>510</v>
      </c>
      <c r="E4">
        <v>691</v>
      </c>
      <c r="F4">
        <v>501</v>
      </c>
      <c r="G4">
        <v>500</v>
      </c>
      <c r="H4">
        <v>502</v>
      </c>
      <c r="I4">
        <v>514</v>
      </c>
    </row>
    <row r="5" spans="2:9">
      <c r="B5" s="5"/>
      <c r="C5" t="s">
        <v>39</v>
      </c>
      <c r="D5" t="s">
        <v>38</v>
      </c>
      <c r="E5" t="s">
        <v>108</v>
      </c>
      <c r="F5" t="s">
        <v>107</v>
      </c>
      <c r="G5" t="s">
        <v>36</v>
      </c>
      <c r="H5" t="s">
        <v>37</v>
      </c>
      <c r="I5" t="s">
        <v>35</v>
      </c>
    </row>
    <row r="6" spans="2:9">
      <c r="B6" s="5" t="s">
        <v>152</v>
      </c>
      <c r="C6">
        <v>1</v>
      </c>
      <c r="D6">
        <v>6</v>
      </c>
      <c r="E6">
        <v>14</v>
      </c>
      <c r="F6">
        <v>16</v>
      </c>
      <c r="G6">
        <v>16</v>
      </c>
      <c r="H6">
        <v>14</v>
      </c>
      <c r="I6">
        <v>19</v>
      </c>
    </row>
    <row r="7" spans="2:9">
      <c r="B7" s="5" t="s">
        <v>153</v>
      </c>
      <c r="C7">
        <v>14</v>
      </c>
      <c r="D7">
        <v>24</v>
      </c>
      <c r="E7">
        <v>43</v>
      </c>
      <c r="F7">
        <v>35</v>
      </c>
      <c r="G7">
        <v>35</v>
      </c>
      <c r="H7">
        <v>50</v>
      </c>
      <c r="I7">
        <v>46</v>
      </c>
    </row>
    <row r="8" spans="2:9">
      <c r="B8" s="5" t="s">
        <v>154</v>
      </c>
      <c r="C8">
        <v>21</v>
      </c>
      <c r="D8">
        <v>40</v>
      </c>
      <c r="E8">
        <v>14</v>
      </c>
      <c r="F8">
        <v>22</v>
      </c>
      <c r="G8">
        <v>26</v>
      </c>
      <c r="H8">
        <v>17</v>
      </c>
      <c r="I8">
        <v>19</v>
      </c>
    </row>
    <row r="9" spans="2:9">
      <c r="B9" s="5" t="s">
        <v>155</v>
      </c>
      <c r="C9">
        <v>27</v>
      </c>
      <c r="D9">
        <v>20</v>
      </c>
      <c r="E9">
        <v>11</v>
      </c>
      <c r="F9">
        <v>9</v>
      </c>
      <c r="G9">
        <v>15</v>
      </c>
      <c r="H9">
        <v>7</v>
      </c>
      <c r="I9">
        <v>10</v>
      </c>
    </row>
    <row r="10" spans="2:9">
      <c r="B10" s="5" t="s">
        <v>156</v>
      </c>
      <c r="C10">
        <v>20</v>
      </c>
      <c r="D10">
        <v>7</v>
      </c>
      <c r="E10">
        <v>11</v>
      </c>
      <c r="F10">
        <v>8</v>
      </c>
      <c r="G10">
        <v>3</v>
      </c>
      <c r="H10">
        <v>7</v>
      </c>
      <c r="I10">
        <v>5</v>
      </c>
    </row>
    <row r="11" spans="2:9">
      <c r="B11" s="5" t="s">
        <v>157</v>
      </c>
      <c r="C11">
        <v>12</v>
      </c>
      <c r="D11">
        <v>3</v>
      </c>
      <c r="E11">
        <v>4</v>
      </c>
      <c r="F11">
        <v>3</v>
      </c>
      <c r="G11">
        <v>3</v>
      </c>
      <c r="H11">
        <v>4</v>
      </c>
      <c r="I11">
        <v>1</v>
      </c>
    </row>
    <row r="12" spans="2:9">
      <c r="B12" s="5" t="s">
        <v>158</v>
      </c>
      <c r="C12">
        <v>5</v>
      </c>
      <c r="D12">
        <v>0</v>
      </c>
      <c r="E12">
        <v>3</v>
      </c>
      <c r="F12">
        <v>7</v>
      </c>
      <c r="G12">
        <v>2</v>
      </c>
      <c r="H12">
        <v>1</v>
      </c>
      <c r="I12">
        <v>0</v>
      </c>
    </row>
    <row r="13" spans="2:9">
      <c r="B13" s="3" t="s">
        <v>159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T1</vt:lpstr>
      <vt:lpstr>T2</vt:lpstr>
      <vt:lpstr>T3</vt:lpstr>
      <vt:lpstr>T4</vt:lpstr>
      <vt:lpstr>F2</vt:lpstr>
      <vt:lpstr>T5</vt:lpstr>
      <vt:lpstr>F3</vt:lpstr>
      <vt:lpstr>F4</vt:lpstr>
      <vt:lpstr>F5</vt:lpstr>
    </vt:vector>
  </TitlesOfParts>
  <Manager/>
  <Company>SurdiFrance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Darbéra</dc:creator>
  <cp:keywords/>
  <dc:description/>
  <cp:lastModifiedBy>Richard Darbéra</cp:lastModifiedBy>
  <dcterms:created xsi:type="dcterms:W3CDTF">2013-08-13T04:37:56Z</dcterms:created>
  <dcterms:modified xsi:type="dcterms:W3CDTF">2013-08-13T09:42:39Z</dcterms:modified>
  <cp:category/>
</cp:coreProperties>
</file>